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8800" windowHeight="12240" activeTab="1"/>
  </bookViews>
  <sheets>
    <sheet name="deg.conv" sheetId="1" r:id="rId1"/>
    <sheet name="Main" sheetId="2" r:id="rId2"/>
    <sheet name="Parameters" sheetId="3" state="hidden" r:id="rId3"/>
    <sheet name="Help" sheetId="4" r:id="rId4"/>
    <sheet name="abridged Molodensky" sheetId="5" state="hidden" r:id="rId5"/>
    <sheet name="D_Israeli 2 Israeli Grid" sheetId="6" state="hidden" r:id="rId6"/>
    <sheet name="WGS84 to UTM" sheetId="7" state="hidden" r:id="rId7"/>
    <sheet name="UTM to WGS84" sheetId="8" state="hidden" r:id="rId8"/>
  </sheets>
  <definedNames>
    <definedName name="a">'abridged Molodensky'!#REF!</definedName>
    <definedName name="b">'abridged Molodensky'!#REF!</definedName>
  </definedNames>
  <calcPr fullCalcOnLoad="1"/>
</workbook>
</file>

<file path=xl/sharedStrings.xml><?xml version="1.0" encoding="utf-8"?>
<sst xmlns="http://schemas.openxmlformats.org/spreadsheetml/2006/main" count="235" uniqueCount="122">
  <si>
    <t>a1</t>
  </si>
  <si>
    <t>f1</t>
  </si>
  <si>
    <t>a2</t>
  </si>
  <si>
    <t>f2</t>
  </si>
  <si>
    <t>FI1</t>
  </si>
  <si>
    <t>LA1</t>
  </si>
  <si>
    <t>FI1 rad</t>
  </si>
  <si>
    <t>LA1 rad</t>
  </si>
  <si>
    <t>dX</t>
  </si>
  <si>
    <t>dY</t>
  </si>
  <si>
    <t>dZ</t>
  </si>
  <si>
    <t>M</t>
  </si>
  <si>
    <t>N</t>
  </si>
  <si>
    <t>e1</t>
  </si>
  <si>
    <t>dFI sec</t>
  </si>
  <si>
    <t>dLA sec</t>
  </si>
  <si>
    <t>FI2</t>
  </si>
  <si>
    <t>LA2</t>
  </si>
  <si>
    <t>from UTM</t>
  </si>
  <si>
    <t>Easting</t>
  </si>
  <si>
    <t>Northing</t>
  </si>
  <si>
    <t>latitude</t>
  </si>
  <si>
    <t>longitude</t>
  </si>
  <si>
    <t>to UTM</t>
  </si>
  <si>
    <t>WGS84</t>
  </si>
  <si>
    <t>Ferro-Greenwich shift</t>
  </si>
  <si>
    <t>degrees</t>
  </si>
  <si>
    <t>minutes</t>
  </si>
  <si>
    <t>seconds</t>
  </si>
  <si>
    <t>from S-JTSK to WGS84</t>
  </si>
  <si>
    <t>from S-42 to S-JTSK</t>
  </si>
  <si>
    <t>check: they all should be 0:</t>
  </si>
  <si>
    <t>x</t>
  </si>
  <si>
    <t>y</t>
  </si>
  <si>
    <t>fi0</t>
  </si>
  <si>
    <t>fi</t>
  </si>
  <si>
    <t>a</t>
  </si>
  <si>
    <t>dec degree</t>
  </si>
  <si>
    <t>X</t>
  </si>
  <si>
    <t>Y</t>
  </si>
  <si>
    <t>e</t>
  </si>
  <si>
    <t>FE</t>
  </si>
  <si>
    <t>FN</t>
  </si>
  <si>
    <t>lambda0</t>
  </si>
  <si>
    <t>lambda0(rad)</t>
  </si>
  <si>
    <t>fi0 (rad)</t>
  </si>
  <si>
    <t>k0</t>
  </si>
  <si>
    <t>M0</t>
  </si>
  <si>
    <t>mu</t>
  </si>
  <si>
    <t>fi1</t>
  </si>
  <si>
    <t>e'2</t>
  </si>
  <si>
    <t>C1</t>
  </si>
  <si>
    <t>T1</t>
  </si>
  <si>
    <t>N1</t>
  </si>
  <si>
    <t>R1</t>
  </si>
  <si>
    <t>D</t>
  </si>
  <si>
    <t>fi (rad)</t>
  </si>
  <si>
    <t>lambda (rad)</t>
  </si>
  <si>
    <t>lambda</t>
  </si>
  <si>
    <t>T</t>
  </si>
  <si>
    <t>C</t>
  </si>
  <si>
    <t>A</t>
  </si>
  <si>
    <t>ZONE</t>
  </si>
  <si>
    <t>datum</t>
  </si>
  <si>
    <t>Moldensky shift parameters (m)</t>
  </si>
  <si>
    <t>latitude (dms)</t>
  </si>
  <si>
    <t>longitude (dms)</t>
  </si>
  <si>
    <t>input------&gt;</t>
  </si>
  <si>
    <t>Majster V1.0</t>
  </si>
  <si>
    <t>PARAMETER PAGE</t>
  </si>
  <si>
    <t>Use with caution.</t>
  </si>
  <si>
    <t>FILL THE GREEN FIELDS WITH THE SELECTED PARAMETERS.</t>
  </si>
  <si>
    <t>from WGS84 to S-42 (CS)</t>
  </si>
  <si>
    <t>From WGS84</t>
  </si>
  <si>
    <t>From Israeli  old</t>
  </si>
  <si>
    <t>From Israeli new</t>
  </si>
  <si>
    <t>utm</t>
  </si>
  <si>
    <t>il new</t>
  </si>
  <si>
    <t>e GRS80</t>
  </si>
  <si>
    <t>b GRS80</t>
  </si>
  <si>
    <t>from WGS84 to ISREALI old</t>
  </si>
  <si>
    <t>wgs84 2 isreali new</t>
  </si>
  <si>
    <t>1/f</t>
  </si>
  <si>
    <t>il old datum 2 il grid</t>
  </si>
  <si>
    <t>b WGS84</t>
  </si>
  <si>
    <t>ניסוי</t>
  </si>
  <si>
    <t xml:space="preserve">wgs84 2 D isreali </t>
  </si>
  <si>
    <t>old datum clarck 1980-benoit</t>
  </si>
  <si>
    <t>new datum gsr80</t>
  </si>
  <si>
    <t>to Palestine_1923_Israel_CS_Grid</t>
  </si>
  <si>
    <t>D=Israeli-GCS_Clarke_1880_Benoit 2 Palestine_1923_Israel_CS_Grid</t>
  </si>
  <si>
    <t>D=Israeli-GRS80 2 TM Israeli Grid</t>
  </si>
  <si>
    <t>dA</t>
  </si>
  <si>
    <t>dF</t>
  </si>
  <si>
    <r>
      <t>f d</t>
    </r>
    <r>
      <rPr>
        <i/>
        <sz val="10"/>
        <rFont val="Arial"/>
        <family val="2"/>
      </rPr>
      <t>f e</t>
    </r>
  </si>
  <si>
    <t>to Israel TM new Grid</t>
  </si>
  <si>
    <t>http://www.soi.gov.il/page?id=geodesy/transformation</t>
  </si>
  <si>
    <t>Latitude &amp; Longitude Format Conversions (Enter your coordinates in the yellow boxes)</t>
  </si>
  <si>
    <t>Degrees, Minutes &amp; Seconds to Decimal Degrees and Degrees &amp; Decimal Minutes</t>
  </si>
  <si>
    <t>Input Data</t>
  </si>
  <si>
    <t>Output Data</t>
  </si>
  <si>
    <t>Degrees (°)</t>
  </si>
  <si>
    <t>Minutes (')</t>
  </si>
  <si>
    <t>Seconds (")</t>
  </si>
  <si>
    <t>Decimal Degrees</t>
  </si>
  <si>
    <t>Degrees &amp; Decimal Minutes</t>
  </si>
  <si>
    <t>E</t>
  </si>
  <si>
    <t>Decimal Degrees to Degrees, Minutes &amp; Seconds and Degrees &amp; Decimal Minutes</t>
  </si>
  <si>
    <t>Degrees &amp; Decimal Minutes to Degrees, Minutes &amp; Seconds and Decimal Degrees</t>
  </si>
  <si>
    <t>Enter your coordinates in the yellow boxes</t>
  </si>
  <si>
    <t>from WGS84 to ISREALI new</t>
  </si>
  <si>
    <t xml:space="preserve">GRS80 </t>
  </si>
  <si>
    <t>Clarke_1880</t>
  </si>
  <si>
    <t>D=Israeli-GCS_Clarke_1880_Benoit - Palestine_1923_Israel_CS_Grid</t>
  </si>
  <si>
    <t>Coordinat Conversions (Enter your coordinates in the yellow boxes)</t>
  </si>
  <si>
    <r>
      <t xml:space="preserve">Supplemented by </t>
    </r>
    <r>
      <rPr>
        <b/>
        <sz val="10"/>
        <rFont val="Arial"/>
        <family val="2"/>
      </rPr>
      <t>Nechemia Gvirtz</t>
    </r>
  </si>
  <si>
    <t>D=Israeli-GRS80 -  Israel TM new Grid</t>
  </si>
  <si>
    <t xml:space="preserve">accuracy ~3 meter </t>
  </si>
  <si>
    <t>http://www.4x4.co.il/usercontent/UserFiles/מפת Transverse Mecartor.doc</t>
  </si>
  <si>
    <t>f=(a-B)/a</t>
  </si>
  <si>
    <r>
      <t>e=sqrt(1-(B/a)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</si>
  <si>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palestine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</si>
</sst>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Zone&quot;\ #"/>
    <numFmt numFmtId="190" formatCode="0.00000"/>
    <numFmt numFmtId="191" formatCode="0.0000"/>
    <numFmt numFmtId="192" formatCode="0.000000000"/>
    <numFmt numFmtId="193" formatCode="0.000000000000"/>
    <numFmt numFmtId="194" formatCode="0.0"/>
    <numFmt numFmtId="195" formatCode="0.0000000"/>
    <numFmt numFmtId="196" formatCode="0.000000"/>
    <numFmt numFmtId="197" formatCode="00"/>
  </numFmts>
  <fonts count="51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Arial"/>
      <family val="2"/>
    </font>
    <font>
      <sz val="10"/>
      <color indexed="43"/>
      <name val="Arial"/>
      <family val="2"/>
    </font>
    <font>
      <b/>
      <sz val="10"/>
      <color indexed="4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85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1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2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190" fontId="3" fillId="0" borderId="0" xfId="0" applyNumberFormat="1" applyFont="1" applyBorder="1" applyAlignment="1">
      <alignment/>
    </xf>
    <xf numFmtId="190" fontId="3" fillId="0" borderId="16" xfId="0" applyNumberFormat="1" applyFont="1" applyBorder="1" applyAlignment="1">
      <alignment/>
    </xf>
    <xf numFmtId="190" fontId="3" fillId="0" borderId="12" xfId="0" applyNumberFormat="1" applyFont="1" applyBorder="1" applyAlignment="1">
      <alignment/>
    </xf>
    <xf numFmtId="190" fontId="3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2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6" xfId="0" applyBorder="1" applyAlignment="1">
      <alignment/>
    </xf>
    <xf numFmtId="0" fontId="0" fillId="38" borderId="12" xfId="0" applyFill="1" applyBorder="1" applyAlignment="1">
      <alignment/>
    </xf>
    <xf numFmtId="0" fontId="0" fillId="0" borderId="10" xfId="0" applyFill="1" applyBorder="1" applyAlignment="1">
      <alignment/>
    </xf>
    <xf numFmtId="195" fontId="0" fillId="0" borderId="0" xfId="0" applyNumberFormat="1" applyAlignment="1">
      <alignment/>
    </xf>
    <xf numFmtId="19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" fontId="3" fillId="0" borderId="0" xfId="0" applyNumberFormat="1" applyFont="1" applyAlignment="1">
      <alignment/>
    </xf>
    <xf numFmtId="188" fontId="6" fillId="42" borderId="16" xfId="0" applyNumberFormat="1" applyFont="1" applyFill="1" applyBorder="1" applyAlignment="1" applyProtection="1">
      <alignment vertical="center"/>
      <protection locked="0"/>
    </xf>
    <xf numFmtId="0" fontId="6" fillId="42" borderId="16" xfId="0" applyFont="1" applyFill="1" applyBorder="1" applyAlignment="1" applyProtection="1">
      <alignment vertical="center"/>
      <protection locked="0"/>
    </xf>
    <xf numFmtId="190" fontId="6" fillId="42" borderId="16" xfId="0" applyNumberFormat="1" applyFont="1" applyFill="1" applyBorder="1" applyAlignment="1" applyProtection="1">
      <alignment vertical="center"/>
      <protection locked="0"/>
    </xf>
    <xf numFmtId="190" fontId="6" fillId="42" borderId="17" xfId="0" applyNumberFormat="1" applyFont="1" applyFill="1" applyBorder="1" applyAlignment="1" applyProtection="1">
      <alignment vertical="center"/>
      <protection locked="0"/>
    </xf>
    <xf numFmtId="191" fontId="6" fillId="42" borderId="16" xfId="0" applyNumberFormat="1" applyFont="1" applyFill="1" applyBorder="1" applyAlignment="1" applyProtection="1">
      <alignment vertical="center"/>
      <protection locked="0"/>
    </xf>
    <xf numFmtId="191" fontId="6" fillId="42" borderId="17" xfId="0" applyNumberFormat="1" applyFont="1" applyFill="1" applyBorder="1" applyAlignment="1" applyProtection="1">
      <alignment vertical="center"/>
      <protection locked="0"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1" fontId="0" fillId="39" borderId="0" xfId="0" applyNumberFormat="1" applyFill="1" applyAlignment="1">
      <alignment/>
    </xf>
    <xf numFmtId="0" fontId="3" fillId="40" borderId="0" xfId="0" applyFont="1" applyFill="1" applyAlignment="1">
      <alignment/>
    </xf>
    <xf numFmtId="0" fontId="3" fillId="39" borderId="0" xfId="0" applyFont="1" applyFill="1" applyAlignment="1">
      <alignment/>
    </xf>
    <xf numFmtId="194" fontId="3" fillId="39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0" fillId="42" borderId="0" xfId="0" applyFill="1" applyBorder="1" applyAlignment="1">
      <alignment/>
    </xf>
    <xf numFmtId="1" fontId="0" fillId="42" borderId="12" xfId="0" applyNumberFormat="1" applyFill="1" applyBorder="1" applyAlignment="1">
      <alignment/>
    </xf>
    <xf numFmtId="189" fontId="0" fillId="42" borderId="12" xfId="0" applyNumberFormat="1" applyFill="1" applyBorder="1" applyAlignment="1">
      <alignment/>
    </xf>
    <xf numFmtId="0" fontId="0" fillId="43" borderId="0" xfId="0" applyFill="1" applyBorder="1" applyAlignment="1">
      <alignment/>
    </xf>
    <xf numFmtId="0" fontId="8" fillId="43" borderId="10" xfId="0" applyFont="1" applyFill="1" applyBorder="1" applyAlignment="1">
      <alignment/>
    </xf>
    <xf numFmtId="0" fontId="8" fillId="43" borderId="0" xfId="0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8" fillId="43" borderId="12" xfId="0" applyFont="1" applyFill="1" applyBorder="1" applyAlignment="1">
      <alignment/>
    </xf>
    <xf numFmtId="1" fontId="2" fillId="44" borderId="0" xfId="0" applyNumberFormat="1" applyFont="1" applyFill="1" applyBorder="1" applyAlignment="1">
      <alignment/>
    </xf>
    <xf numFmtId="1" fontId="2" fillId="44" borderId="12" xfId="0" applyNumberFormat="1" applyFont="1" applyFill="1" applyBorder="1" applyAlignment="1">
      <alignment/>
    </xf>
    <xf numFmtId="190" fontId="0" fillId="44" borderId="0" xfId="0" applyNumberFormat="1" applyFont="1" applyFill="1" applyBorder="1" applyAlignment="1">
      <alignment/>
    </xf>
    <xf numFmtId="190" fontId="2" fillId="44" borderId="0" xfId="0" applyNumberFormat="1" applyFont="1" applyFill="1" applyBorder="1" applyAlignment="1">
      <alignment/>
    </xf>
    <xf numFmtId="190" fontId="0" fillId="44" borderId="12" xfId="0" applyNumberFormat="1" applyFont="1" applyFill="1" applyBorder="1" applyAlignment="1">
      <alignment/>
    </xf>
    <xf numFmtId="190" fontId="2" fillId="44" borderId="12" xfId="0" applyNumberFormat="1" applyFont="1" applyFill="1" applyBorder="1" applyAlignment="1">
      <alignment/>
    </xf>
    <xf numFmtId="189" fontId="2" fillId="44" borderId="17" xfId="0" applyNumberFormat="1" applyFont="1" applyFill="1" applyBorder="1" applyAlignment="1">
      <alignment/>
    </xf>
    <xf numFmtId="190" fontId="0" fillId="44" borderId="16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2" fontId="0" fillId="44" borderId="18" xfId="0" applyNumberFormat="1" applyFont="1" applyFill="1" applyBorder="1" applyAlignment="1">
      <alignment/>
    </xf>
    <xf numFmtId="2" fontId="0" fillId="44" borderId="16" xfId="0" applyNumberFormat="1" applyFont="1" applyFill="1" applyBorder="1" applyAlignment="1">
      <alignment/>
    </xf>
    <xf numFmtId="2" fontId="0" fillId="44" borderId="0" xfId="0" applyNumberFormat="1" applyFont="1" applyFill="1" applyBorder="1" applyAlignment="1">
      <alignment/>
    </xf>
    <xf numFmtId="190" fontId="0" fillId="44" borderId="17" xfId="0" applyNumberFormat="1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2" fontId="0" fillId="44" borderId="12" xfId="0" applyNumberFormat="1" applyFont="1" applyFill="1" applyBorder="1" applyAlignment="1">
      <alignment/>
    </xf>
    <xf numFmtId="2" fontId="0" fillId="44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43" borderId="16" xfId="0" applyFill="1" applyBorder="1" applyAlignment="1">
      <alignment/>
    </xf>
    <xf numFmtId="11" fontId="0" fillId="43" borderId="0" xfId="0" applyNumberFormat="1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42" applyAlignment="1" applyProtection="1">
      <alignment/>
      <protection/>
    </xf>
    <xf numFmtId="0" fontId="0" fillId="41" borderId="0" xfId="0" applyFill="1" applyAlignment="1">
      <alignment/>
    </xf>
    <xf numFmtId="0" fontId="0" fillId="0" borderId="0" xfId="0" applyAlignment="1">
      <alignment/>
    </xf>
    <xf numFmtId="195" fontId="0" fillId="0" borderId="0" xfId="0" applyNumberFormat="1" applyAlignment="1">
      <alignment/>
    </xf>
    <xf numFmtId="0" fontId="15" fillId="43" borderId="19" xfId="0" applyFont="1" applyFill="1" applyBorder="1" applyAlignment="1" applyProtection="1">
      <alignment horizontal="center" vertical="center"/>
      <protection/>
    </xf>
    <xf numFmtId="0" fontId="17" fillId="43" borderId="20" xfId="0" applyFont="1" applyFill="1" applyBorder="1" applyAlignment="1" applyProtection="1">
      <alignment vertical="center"/>
      <protection/>
    </xf>
    <xf numFmtId="0" fontId="17" fillId="43" borderId="21" xfId="0" applyFont="1" applyFill="1" applyBorder="1" applyAlignment="1" applyProtection="1">
      <alignment vertical="center"/>
      <protection/>
    </xf>
    <xf numFmtId="0" fontId="15" fillId="43" borderId="21" xfId="0" applyFont="1" applyFill="1" applyBorder="1" applyAlignment="1" applyProtection="1">
      <alignment horizontal="right" vertical="center"/>
      <protection/>
    </xf>
    <xf numFmtId="0" fontId="15" fillId="43" borderId="22" xfId="0" applyFont="1" applyFill="1" applyBorder="1" applyAlignment="1" applyProtection="1">
      <alignment horizontal="right" vertical="center"/>
      <protection/>
    </xf>
    <xf numFmtId="0" fontId="16" fillId="44" borderId="13" xfId="0" applyFont="1" applyFill="1" applyBorder="1" applyAlignment="1" applyProtection="1">
      <alignment horizontal="center" vertical="center"/>
      <protection/>
    </xf>
    <xf numFmtId="0" fontId="15" fillId="43" borderId="23" xfId="0" applyFont="1" applyFill="1" applyBorder="1" applyAlignment="1" applyProtection="1">
      <alignment horizontal="right" vertical="center"/>
      <protection/>
    </xf>
    <xf numFmtId="0" fontId="14" fillId="42" borderId="24" xfId="0" applyFont="1" applyFill="1" applyBorder="1" applyAlignment="1" applyProtection="1">
      <alignment horizontal="right" vertical="center"/>
      <protection locked="0"/>
    </xf>
    <xf numFmtId="197" fontId="14" fillId="42" borderId="25" xfId="0" applyNumberFormat="1" applyFont="1" applyFill="1" applyBorder="1" applyAlignment="1" applyProtection="1">
      <alignment vertical="center"/>
      <protection locked="0"/>
    </xf>
    <xf numFmtId="1" fontId="14" fillId="42" borderId="26" xfId="0" applyNumberFormat="1" applyFont="1" applyFill="1" applyBorder="1" applyAlignment="1" applyProtection="1">
      <alignment vertical="center"/>
      <protection locked="0"/>
    </xf>
    <xf numFmtId="196" fontId="14" fillId="42" borderId="27" xfId="0" applyNumberFormat="1" applyFont="1" applyFill="1" applyBorder="1" applyAlignment="1" applyProtection="1">
      <alignment vertical="center" readingOrder="1"/>
      <protection locked="0"/>
    </xf>
    <xf numFmtId="193" fontId="16" fillId="44" borderId="28" xfId="0" applyNumberFormat="1" applyFont="1" applyFill="1" applyBorder="1" applyAlignment="1" applyProtection="1">
      <alignment vertical="center"/>
      <protection/>
    </xf>
    <xf numFmtId="193" fontId="16" fillId="44" borderId="28" xfId="0" applyNumberFormat="1" applyFont="1" applyFill="1" applyBorder="1" applyAlignment="1" applyProtection="1">
      <alignment horizontal="right" vertical="center"/>
      <protection/>
    </xf>
    <xf numFmtId="1" fontId="16" fillId="44" borderId="29" xfId="0" applyNumberFormat="1" applyFont="1" applyFill="1" applyBorder="1" applyAlignment="1" applyProtection="1">
      <alignment horizontal="right" vertical="center"/>
      <protection/>
    </xf>
    <xf numFmtId="192" fontId="16" fillId="44" borderId="27" xfId="0" applyNumberFormat="1" applyFont="1" applyFill="1" applyBorder="1" applyAlignment="1" applyProtection="1">
      <alignment horizontal="right" vertical="center"/>
      <protection/>
    </xf>
    <xf numFmtId="0" fontId="15" fillId="43" borderId="30" xfId="0" applyFont="1" applyFill="1" applyBorder="1" applyAlignment="1" applyProtection="1">
      <alignment horizontal="right" vertical="center"/>
      <protection/>
    </xf>
    <xf numFmtId="0" fontId="14" fillId="42" borderId="11" xfId="0" applyFont="1" applyFill="1" applyBorder="1" applyAlignment="1" applyProtection="1">
      <alignment horizontal="right" vertical="center"/>
      <protection locked="0"/>
    </xf>
    <xf numFmtId="0" fontId="14" fillId="42" borderId="31" xfId="0" applyFont="1" applyFill="1" applyBorder="1" applyAlignment="1" applyProtection="1">
      <alignment vertical="center"/>
      <protection locked="0"/>
    </xf>
    <xf numFmtId="1" fontId="14" fillId="42" borderId="32" xfId="0" applyNumberFormat="1" applyFont="1" applyFill="1" applyBorder="1" applyAlignment="1" applyProtection="1">
      <alignment vertical="center"/>
      <protection locked="0"/>
    </xf>
    <xf numFmtId="196" fontId="14" fillId="42" borderId="17" xfId="0" applyNumberFormat="1" applyFont="1" applyFill="1" applyBorder="1" applyAlignment="1" applyProtection="1">
      <alignment vertical="center"/>
      <protection locked="0"/>
    </xf>
    <xf numFmtId="193" fontId="16" fillId="44" borderId="33" xfId="0" applyNumberFormat="1" applyFont="1" applyFill="1" applyBorder="1" applyAlignment="1" applyProtection="1">
      <alignment vertical="center"/>
      <protection/>
    </xf>
    <xf numFmtId="193" fontId="16" fillId="44" borderId="33" xfId="0" applyNumberFormat="1" applyFont="1" applyFill="1" applyBorder="1" applyAlignment="1" applyProtection="1">
      <alignment horizontal="right" vertical="center"/>
      <protection/>
    </xf>
    <xf numFmtId="1" fontId="16" fillId="44" borderId="34" xfId="0" applyNumberFormat="1" applyFont="1" applyFill="1" applyBorder="1" applyAlignment="1" applyProtection="1">
      <alignment horizontal="right" vertical="center"/>
      <protection/>
    </xf>
    <xf numFmtId="192" fontId="16" fillId="44" borderId="17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6" fontId="18" fillId="0" borderId="0" xfId="0" applyNumberFormat="1" applyFont="1" applyFill="1" applyBorder="1" applyAlignment="1" applyProtection="1">
      <alignment vertical="center"/>
      <protection/>
    </xf>
    <xf numFmtId="193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right" vertical="center"/>
      <protection/>
    </xf>
    <xf numFmtId="192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43" borderId="35" xfId="0" applyFont="1" applyFill="1" applyBorder="1" applyAlignment="1" applyProtection="1">
      <alignment horizontal="center" vertical="center" wrapText="1"/>
      <protection/>
    </xf>
    <xf numFmtId="0" fontId="19" fillId="44" borderId="20" xfId="0" applyFont="1" applyFill="1" applyBorder="1" applyAlignment="1" applyProtection="1">
      <alignment vertical="center"/>
      <protection/>
    </xf>
    <xf numFmtId="0" fontId="19" fillId="44" borderId="21" xfId="0" applyFont="1" applyFill="1" applyBorder="1" applyAlignment="1" applyProtection="1">
      <alignment vertical="center"/>
      <protection/>
    </xf>
    <xf numFmtId="0" fontId="14" fillId="44" borderId="21" xfId="0" applyFont="1" applyFill="1" applyBorder="1" applyAlignment="1" applyProtection="1">
      <alignment horizontal="right" vertical="center"/>
      <protection/>
    </xf>
    <xf numFmtId="0" fontId="14" fillId="44" borderId="22" xfId="0" applyFont="1" applyFill="1" applyBorder="1" applyAlignment="1" applyProtection="1">
      <alignment horizontal="right" vertical="center"/>
      <protection/>
    </xf>
    <xf numFmtId="0" fontId="15" fillId="43" borderId="35" xfId="0" applyFont="1" applyFill="1" applyBorder="1" applyAlignment="1" applyProtection="1">
      <alignment horizontal="center" vertical="center"/>
      <protection/>
    </xf>
    <xf numFmtId="0" fontId="14" fillId="44" borderId="23" xfId="0" applyFont="1" applyFill="1" applyBorder="1" applyAlignment="1" applyProtection="1">
      <alignment horizontal="right" vertical="center"/>
      <protection/>
    </xf>
    <xf numFmtId="0" fontId="14" fillId="44" borderId="24" xfId="0" applyFont="1" applyFill="1" applyBorder="1" applyAlignment="1" applyProtection="1">
      <alignment horizontal="right" vertical="center"/>
      <protection/>
    </xf>
    <xf numFmtId="0" fontId="14" fillId="44" borderId="25" xfId="0" applyFont="1" applyFill="1" applyBorder="1" applyAlignment="1" applyProtection="1">
      <alignment vertical="center"/>
      <protection/>
    </xf>
    <xf numFmtId="0" fontId="14" fillId="44" borderId="26" xfId="0" applyFont="1" applyFill="1" applyBorder="1" applyAlignment="1" applyProtection="1">
      <alignment vertical="center"/>
      <protection/>
    </xf>
    <xf numFmtId="196" fontId="14" fillId="44" borderId="27" xfId="0" applyNumberFormat="1" applyFont="1" applyFill="1" applyBorder="1" applyAlignment="1" applyProtection="1">
      <alignment vertical="center"/>
      <protection/>
    </xf>
    <xf numFmtId="193" fontId="14" fillId="42" borderId="36" xfId="0" applyNumberFormat="1" applyFont="1" applyFill="1" applyBorder="1" applyAlignment="1" applyProtection="1">
      <alignment vertical="center"/>
      <protection locked="0"/>
    </xf>
    <xf numFmtId="193" fontId="14" fillId="44" borderId="28" xfId="0" applyNumberFormat="1" applyFont="1" applyFill="1" applyBorder="1" applyAlignment="1" applyProtection="1">
      <alignment horizontal="right" vertical="center"/>
      <protection locked="0"/>
    </xf>
    <xf numFmtId="0" fontId="14" fillId="44" borderId="30" xfId="0" applyFont="1" applyFill="1" applyBorder="1" applyAlignment="1" applyProtection="1">
      <alignment horizontal="right" vertical="center"/>
      <protection/>
    </xf>
    <xf numFmtId="0" fontId="14" fillId="44" borderId="11" xfId="0" applyFont="1" applyFill="1" applyBorder="1" applyAlignment="1" applyProtection="1">
      <alignment horizontal="right" vertical="center"/>
      <protection/>
    </xf>
    <xf numFmtId="0" fontId="14" fillId="44" borderId="31" xfId="0" applyFont="1" applyFill="1" applyBorder="1" applyAlignment="1" applyProtection="1">
      <alignment vertical="center"/>
      <protection/>
    </xf>
    <xf numFmtId="0" fontId="14" fillId="44" borderId="32" xfId="0" applyFont="1" applyFill="1" applyBorder="1" applyAlignment="1" applyProtection="1">
      <alignment vertical="center"/>
      <protection/>
    </xf>
    <xf numFmtId="196" fontId="14" fillId="44" borderId="17" xfId="0" applyNumberFormat="1" applyFont="1" applyFill="1" applyBorder="1" applyAlignment="1" applyProtection="1">
      <alignment vertical="center"/>
      <protection/>
    </xf>
    <xf numFmtId="193" fontId="14" fillId="42" borderId="37" xfId="0" applyNumberFormat="1" applyFont="1" applyFill="1" applyBorder="1" applyAlignment="1" applyProtection="1">
      <alignment vertical="center"/>
      <protection locked="0"/>
    </xf>
    <xf numFmtId="193" fontId="14" fillId="44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96" fontId="14" fillId="0" borderId="0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Fill="1" applyBorder="1" applyAlignment="1" applyProtection="1">
      <alignment vertical="center"/>
      <protection/>
    </xf>
    <xf numFmtId="0" fontId="14" fillId="44" borderId="20" xfId="0" applyFont="1" applyFill="1" applyBorder="1" applyAlignment="1" applyProtection="1">
      <alignment vertical="center"/>
      <protection/>
    </xf>
    <xf numFmtId="0" fontId="14" fillId="44" borderId="21" xfId="0" applyFont="1" applyFill="1" applyBorder="1" applyAlignment="1" applyProtection="1">
      <alignment vertical="center"/>
      <protection/>
    </xf>
    <xf numFmtId="0" fontId="16" fillId="44" borderId="35" xfId="0" applyFont="1" applyFill="1" applyBorder="1" applyAlignment="1" applyProtection="1">
      <alignment horizontal="center" vertical="center"/>
      <protection/>
    </xf>
    <xf numFmtId="193" fontId="14" fillId="44" borderId="24" xfId="0" applyNumberFormat="1" applyFont="1" applyFill="1" applyBorder="1" applyAlignment="1" applyProtection="1">
      <alignment horizontal="right" vertical="center"/>
      <protection/>
    </xf>
    <xf numFmtId="193" fontId="16" fillId="44" borderId="36" xfId="0" applyNumberFormat="1" applyFont="1" applyFill="1" applyBorder="1" applyAlignment="1" applyProtection="1">
      <alignment vertical="center"/>
      <protection/>
    </xf>
    <xf numFmtId="193" fontId="16" fillId="42" borderId="28" xfId="0" applyNumberFormat="1" applyFont="1" applyFill="1" applyBorder="1" applyAlignment="1" applyProtection="1">
      <alignment horizontal="right" vertical="center"/>
      <protection locked="0"/>
    </xf>
    <xf numFmtId="1" fontId="14" fillId="42" borderId="29" xfId="0" applyNumberFormat="1" applyFont="1" applyFill="1" applyBorder="1" applyAlignment="1" applyProtection="1">
      <alignment horizontal="right" vertical="center"/>
      <protection locked="0"/>
    </xf>
    <xf numFmtId="192" fontId="14" fillId="42" borderId="27" xfId="0" applyNumberFormat="1" applyFont="1" applyFill="1" applyBorder="1" applyAlignment="1" applyProtection="1">
      <alignment horizontal="right" vertical="center"/>
      <protection locked="0"/>
    </xf>
    <xf numFmtId="193" fontId="14" fillId="44" borderId="11" xfId="0" applyNumberFormat="1" applyFont="1" applyFill="1" applyBorder="1" applyAlignment="1" applyProtection="1">
      <alignment horizontal="right" vertical="center"/>
      <protection/>
    </xf>
    <xf numFmtId="193" fontId="16" fillId="44" borderId="37" xfId="0" applyNumberFormat="1" applyFont="1" applyFill="1" applyBorder="1" applyAlignment="1" applyProtection="1">
      <alignment vertical="center"/>
      <protection/>
    </xf>
    <xf numFmtId="193" fontId="16" fillId="42" borderId="33" xfId="0" applyNumberFormat="1" applyFont="1" applyFill="1" applyBorder="1" applyAlignment="1" applyProtection="1">
      <alignment horizontal="right" vertical="center"/>
      <protection locked="0"/>
    </xf>
    <xf numFmtId="1" fontId="14" fillId="42" borderId="34" xfId="0" applyNumberFormat="1" applyFont="1" applyFill="1" applyBorder="1" applyAlignment="1" applyProtection="1">
      <alignment horizontal="right" vertical="center"/>
      <protection locked="0"/>
    </xf>
    <xf numFmtId="192" fontId="14" fillId="42" borderId="17" xfId="0" applyNumberFormat="1" applyFont="1" applyFill="1" applyBorder="1" applyAlignment="1" applyProtection="1">
      <alignment horizontal="right" vertical="center"/>
      <protection locked="0"/>
    </xf>
    <xf numFmtId="4" fontId="0" fillId="42" borderId="0" xfId="0" applyNumberFormat="1" applyFill="1" applyBorder="1" applyAlignment="1">
      <alignment/>
    </xf>
    <xf numFmtId="0" fontId="13" fillId="45" borderId="0" xfId="0" applyFont="1" applyFill="1" applyAlignment="1" applyProtection="1">
      <alignment horizontal="center" vertical="center"/>
      <protection/>
    </xf>
    <xf numFmtId="0" fontId="14" fillId="37" borderId="12" xfId="0" applyFont="1" applyFill="1" applyBorder="1" applyAlignment="1" applyProtection="1">
      <alignment horizontal="center" vertical="center"/>
      <protection/>
    </xf>
    <xf numFmtId="0" fontId="15" fillId="43" borderId="38" xfId="0" applyFont="1" applyFill="1" applyBorder="1" applyAlignment="1" applyProtection="1">
      <alignment horizontal="center" vertical="center"/>
      <protection/>
    </xf>
    <xf numFmtId="0" fontId="15" fillId="43" borderId="19" xfId="0" applyFont="1" applyFill="1" applyBorder="1" applyAlignment="1" applyProtection="1">
      <alignment horizontal="center" vertical="center"/>
      <protection/>
    </xf>
    <xf numFmtId="0" fontId="15" fillId="43" borderId="39" xfId="0" applyFont="1" applyFill="1" applyBorder="1" applyAlignment="1" applyProtection="1">
      <alignment horizontal="center" vertical="center"/>
      <protection/>
    </xf>
    <xf numFmtId="0" fontId="16" fillId="44" borderId="38" xfId="0" applyFont="1" applyFill="1" applyBorder="1" applyAlignment="1" applyProtection="1">
      <alignment horizontal="center" vertical="center"/>
      <protection/>
    </xf>
    <xf numFmtId="0" fontId="16" fillId="44" borderId="19" xfId="0" applyFont="1" applyFill="1" applyBorder="1" applyAlignment="1" applyProtection="1">
      <alignment horizontal="center" vertical="center"/>
      <protection/>
    </xf>
    <xf numFmtId="0" fontId="16" fillId="44" borderId="39" xfId="0" applyFont="1" applyFill="1" applyBorder="1" applyAlignment="1" applyProtection="1">
      <alignment horizontal="center" vertical="center"/>
      <protection/>
    </xf>
    <xf numFmtId="0" fontId="16" fillId="44" borderId="20" xfId="0" applyFont="1" applyFill="1" applyBorder="1" applyAlignment="1" applyProtection="1">
      <alignment horizontal="center" vertical="center"/>
      <protection/>
    </xf>
    <xf numFmtId="0" fontId="16" fillId="44" borderId="21" xfId="0" applyFont="1" applyFill="1" applyBorder="1" applyAlignment="1" applyProtection="1">
      <alignment horizontal="center" vertical="center"/>
      <protection/>
    </xf>
    <xf numFmtId="0" fontId="16" fillId="44" borderId="22" xfId="0" applyFont="1" applyFill="1" applyBorder="1" applyAlignment="1" applyProtection="1">
      <alignment horizontal="center" vertical="center"/>
      <protection/>
    </xf>
    <xf numFmtId="0" fontId="15" fillId="43" borderId="20" xfId="0" applyFont="1" applyFill="1" applyBorder="1" applyAlignment="1" applyProtection="1">
      <alignment horizontal="center" vertical="center"/>
      <protection/>
    </xf>
    <xf numFmtId="0" fontId="15" fillId="43" borderId="21" xfId="0" applyFont="1" applyFill="1" applyBorder="1" applyAlignment="1" applyProtection="1">
      <alignment horizontal="center" vertical="center"/>
      <protection/>
    </xf>
    <xf numFmtId="0" fontId="15" fillId="43" borderId="22" xfId="0" applyFont="1" applyFill="1" applyBorder="1" applyAlignment="1" applyProtection="1">
      <alignment horizontal="center" vertical="center"/>
      <protection/>
    </xf>
    <xf numFmtId="0" fontId="15" fillId="43" borderId="19" xfId="0" applyFont="1" applyFill="1" applyBorder="1" applyAlignment="1" applyProtection="1">
      <alignment horizontal="center" vertical="center" wrapText="1"/>
      <protection/>
    </xf>
    <xf numFmtId="0" fontId="15" fillId="43" borderId="39" xfId="0" applyFont="1" applyFill="1" applyBorder="1" applyAlignment="1" applyProtection="1">
      <alignment horizontal="center" vertical="center" wrapText="1"/>
      <protection/>
    </xf>
    <xf numFmtId="0" fontId="10" fillId="45" borderId="0" xfId="0" applyFont="1" applyFill="1" applyAlignment="1" applyProtection="1">
      <alignment vertic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x4.co.il/usercontent/UserFiles/&#1502;&#1508;&#1514;%20Transverse%20Mecartor.doc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.57421875" style="0" customWidth="1"/>
    <col min="6" max="6" width="11.8515625" style="0" bestFit="1" customWidth="1"/>
    <col min="7" max="7" width="17.8515625" style="0" bestFit="1" customWidth="1"/>
    <col min="9" max="9" width="3.28125" style="0" bestFit="1" customWidth="1"/>
    <col min="10" max="10" width="14.28125" style="0" bestFit="1" customWidth="1"/>
  </cols>
  <sheetData>
    <row r="1" spans="2:10" ht="15">
      <c r="B1" s="175" t="s">
        <v>97</v>
      </c>
      <c r="C1" s="175"/>
      <c r="D1" s="175"/>
      <c r="E1" s="175"/>
      <c r="F1" s="175"/>
      <c r="G1" s="175"/>
      <c r="H1" s="175"/>
      <c r="I1" s="175"/>
      <c r="J1" s="175"/>
    </row>
    <row r="2" spans="2:10" ht="14.25">
      <c r="B2" s="71"/>
      <c r="C2" s="71"/>
      <c r="D2" s="71"/>
      <c r="E2" s="71"/>
      <c r="F2" s="71"/>
      <c r="G2" s="71"/>
      <c r="H2" s="71"/>
      <c r="I2" s="71"/>
      <c r="J2" s="71"/>
    </row>
    <row r="3" spans="2:10" ht="15.75" thickBot="1">
      <c r="B3" s="176" t="s">
        <v>98</v>
      </c>
      <c r="C3" s="176"/>
      <c r="D3" s="176"/>
      <c r="E3" s="176"/>
      <c r="F3" s="176"/>
      <c r="G3" s="176"/>
      <c r="H3" s="176"/>
      <c r="I3" s="176"/>
      <c r="J3" s="176"/>
    </row>
    <row r="4" spans="2:10" ht="15.75" thickBot="1">
      <c r="B4" s="177" t="s">
        <v>99</v>
      </c>
      <c r="C4" s="178"/>
      <c r="D4" s="178"/>
      <c r="E4" s="178"/>
      <c r="F4" s="179"/>
      <c r="G4" s="180" t="s">
        <v>100</v>
      </c>
      <c r="H4" s="181"/>
      <c r="I4" s="181"/>
      <c r="J4" s="182"/>
    </row>
    <row r="5" spans="2:13" ht="15">
      <c r="B5" s="108"/>
      <c r="C5" s="109"/>
      <c r="D5" s="110" t="s">
        <v>101</v>
      </c>
      <c r="E5" s="110" t="s">
        <v>102</v>
      </c>
      <c r="F5" s="111" t="s">
        <v>103</v>
      </c>
      <c r="G5" s="112" t="s">
        <v>104</v>
      </c>
      <c r="H5" s="183" t="s">
        <v>105</v>
      </c>
      <c r="I5" s="184"/>
      <c r="J5" s="185"/>
      <c r="M5" s="98"/>
    </row>
    <row r="6" spans="2:10" ht="15">
      <c r="B6" s="113" t="s">
        <v>21</v>
      </c>
      <c r="C6" s="114" t="s">
        <v>12</v>
      </c>
      <c r="D6" s="115">
        <v>52</v>
      </c>
      <c r="E6" s="116">
        <v>39</v>
      </c>
      <c r="F6" s="117">
        <v>27.2531</v>
      </c>
      <c r="G6" s="118">
        <f>IF(UPPER(C6)="S",((((F6/60)+E6)/60)+D6)*-1,((((F6/60)+E6)/60)+D6))</f>
        <v>52.65757030555555</v>
      </c>
      <c r="H6" s="119" t="str">
        <f>UPPER(C6)</f>
        <v>N</v>
      </c>
      <c r="I6" s="120">
        <f>D6</f>
        <v>52</v>
      </c>
      <c r="J6" s="121">
        <f>E6+(F6/60)</f>
        <v>39.45421833333333</v>
      </c>
    </row>
    <row r="7" spans="2:12" ht="15.75" thickBot="1">
      <c r="B7" s="122" t="s">
        <v>22</v>
      </c>
      <c r="C7" s="123" t="s">
        <v>106</v>
      </c>
      <c r="D7" s="124">
        <v>1</v>
      </c>
      <c r="E7" s="125">
        <v>43</v>
      </c>
      <c r="F7" s="126">
        <v>4.5177</v>
      </c>
      <c r="G7" s="127">
        <f>IF(UPPER(C7)="W",((((F7/60)+E7)/60)+D7)*-1,((((F7/60)+E7)/60)+D7))</f>
        <v>1.7179215833333332</v>
      </c>
      <c r="H7" s="128" t="str">
        <f>UPPER(C7)</f>
        <v>E</v>
      </c>
      <c r="I7" s="129">
        <f>D7</f>
        <v>1</v>
      </c>
      <c r="J7" s="130">
        <f>E7+(F7/60)</f>
        <v>43.075295</v>
      </c>
      <c r="L7" s="72"/>
    </row>
    <row r="8" spans="2:10" ht="15">
      <c r="B8" s="131"/>
      <c r="C8" s="131"/>
      <c r="D8" s="132"/>
      <c r="E8" s="132"/>
      <c r="F8" s="133"/>
      <c r="G8" s="134"/>
      <c r="H8" s="134"/>
      <c r="I8" s="135"/>
      <c r="J8" s="136"/>
    </row>
    <row r="9" spans="2:10" ht="15.75" thickBot="1">
      <c r="B9" s="176" t="s">
        <v>107</v>
      </c>
      <c r="C9" s="176"/>
      <c r="D9" s="176"/>
      <c r="E9" s="176"/>
      <c r="F9" s="176"/>
      <c r="G9" s="176"/>
      <c r="H9" s="176"/>
      <c r="I9" s="176"/>
      <c r="J9" s="176"/>
    </row>
    <row r="10" spans="2:10" ht="15.75" thickBot="1">
      <c r="B10" s="180" t="s">
        <v>100</v>
      </c>
      <c r="C10" s="181"/>
      <c r="D10" s="181"/>
      <c r="E10" s="181"/>
      <c r="F10" s="182"/>
      <c r="G10" s="137" t="s">
        <v>99</v>
      </c>
      <c r="H10" s="180" t="s">
        <v>100</v>
      </c>
      <c r="I10" s="181"/>
      <c r="J10" s="182"/>
    </row>
    <row r="11" spans="2:10" ht="15">
      <c r="B11" s="138"/>
      <c r="C11" s="139"/>
      <c r="D11" s="140" t="s">
        <v>101</v>
      </c>
      <c r="E11" s="140" t="s">
        <v>102</v>
      </c>
      <c r="F11" s="141" t="s">
        <v>103</v>
      </c>
      <c r="G11" s="142" t="s">
        <v>104</v>
      </c>
      <c r="H11" s="183" t="s">
        <v>105</v>
      </c>
      <c r="I11" s="184"/>
      <c r="J11" s="185"/>
    </row>
    <row r="12" spans="2:10" ht="15">
      <c r="B12" s="143" t="s">
        <v>21</v>
      </c>
      <c r="C12" s="144" t="str">
        <f>IF(G12&gt;0,"N","S")</f>
        <v>N</v>
      </c>
      <c r="D12" s="145">
        <f>ABS(TRUNC(G12))</f>
        <v>52</v>
      </c>
      <c r="E12" s="146">
        <f>TRUNC((ABS(G12)-D12)*60)</f>
        <v>39</v>
      </c>
      <c r="F12" s="147">
        <f>((ABS(G12))*3600)-(E12*60)-(D12*3600)</f>
        <v>27.253100000001723</v>
      </c>
      <c r="G12" s="148">
        <v>52.65757030555555</v>
      </c>
      <c r="H12" s="149" t="str">
        <f>IF(G12&lt;0,"S","N")</f>
        <v>N</v>
      </c>
      <c r="I12" s="120">
        <f>ABS(TRUNC(G12))</f>
        <v>52</v>
      </c>
      <c r="J12" s="121">
        <f>ABS(G12-(TRUNC(G12)))*60</f>
        <v>39.45421833333313</v>
      </c>
    </row>
    <row r="13" spans="2:10" ht="15.75" thickBot="1">
      <c r="B13" s="150" t="s">
        <v>22</v>
      </c>
      <c r="C13" s="151" t="str">
        <f>IF(G13&lt;0,"W","E")</f>
        <v>E</v>
      </c>
      <c r="D13" s="152">
        <f>ABS(TRUNC(G13))</f>
        <v>1</v>
      </c>
      <c r="E13" s="153">
        <f>TRUNC((ABS(G13)-D13)*60)</f>
        <v>43</v>
      </c>
      <c r="F13" s="154">
        <f>((ABS(G13))*3600)-(E13*60)-(D13*3600)</f>
        <v>4.517699999999422</v>
      </c>
      <c r="G13" s="155">
        <v>1.7179215833333332</v>
      </c>
      <c r="H13" s="156" t="str">
        <f>IF(G13&lt;0,"W","E")</f>
        <v>E</v>
      </c>
      <c r="I13" s="129">
        <f>ABS(TRUNC(G13))</f>
        <v>1</v>
      </c>
      <c r="J13" s="130">
        <f>ABS(G13-(TRUNC(G13)))*60</f>
        <v>43.075295</v>
      </c>
    </row>
    <row r="14" spans="2:10" ht="15">
      <c r="B14" s="157"/>
      <c r="C14" s="157"/>
      <c r="D14" s="158"/>
      <c r="E14" s="158"/>
      <c r="F14" s="159"/>
      <c r="G14" s="160"/>
      <c r="H14" s="160"/>
      <c r="I14" s="135"/>
      <c r="J14" s="136"/>
    </row>
    <row r="15" spans="2:10" ht="15.75" thickBot="1">
      <c r="B15" s="176" t="s">
        <v>108</v>
      </c>
      <c r="C15" s="176"/>
      <c r="D15" s="176"/>
      <c r="E15" s="176"/>
      <c r="F15" s="176"/>
      <c r="G15" s="176"/>
      <c r="H15" s="176"/>
      <c r="I15" s="176"/>
      <c r="J15" s="176"/>
    </row>
    <row r="16" spans="2:10" ht="15.75" thickBot="1">
      <c r="B16" s="180" t="s">
        <v>100</v>
      </c>
      <c r="C16" s="181"/>
      <c r="D16" s="181"/>
      <c r="E16" s="181"/>
      <c r="F16" s="181"/>
      <c r="G16" s="182"/>
      <c r="H16" s="107"/>
      <c r="I16" s="189" t="s">
        <v>99</v>
      </c>
      <c r="J16" s="190"/>
    </row>
    <row r="17" spans="2:10" ht="15">
      <c r="B17" s="161"/>
      <c r="C17" s="162"/>
      <c r="D17" s="140" t="s">
        <v>101</v>
      </c>
      <c r="E17" s="140" t="s">
        <v>102</v>
      </c>
      <c r="F17" s="141" t="s">
        <v>103</v>
      </c>
      <c r="G17" s="163" t="s">
        <v>104</v>
      </c>
      <c r="H17" s="186" t="s">
        <v>105</v>
      </c>
      <c r="I17" s="187"/>
      <c r="J17" s="188"/>
    </row>
    <row r="18" spans="2:10" ht="15">
      <c r="B18" s="143" t="s">
        <v>21</v>
      </c>
      <c r="C18" s="164" t="str">
        <f>UPPER(H18)</f>
        <v>N</v>
      </c>
      <c r="D18" s="145">
        <f>ABS(I18)</f>
        <v>52</v>
      </c>
      <c r="E18" s="146">
        <f>ABS(TRUNC(J18))</f>
        <v>39</v>
      </c>
      <c r="F18" s="147">
        <f>(ABS(J18)-E18)*60</f>
        <v>27.253099999987853</v>
      </c>
      <c r="G18" s="165">
        <f>IF(UPPER(H18)="S",(I18+(J18/60))*-1,(I18+(J18/60)))</f>
        <v>52.65757030555555</v>
      </c>
      <c r="H18" s="166" t="s">
        <v>12</v>
      </c>
      <c r="I18" s="167">
        <v>52</v>
      </c>
      <c r="J18" s="168">
        <v>39.45421833333313</v>
      </c>
    </row>
    <row r="19" spans="2:10" ht="15.75" thickBot="1">
      <c r="B19" s="150" t="s">
        <v>22</v>
      </c>
      <c r="C19" s="169" t="str">
        <f>UPPER(H19)</f>
        <v>E</v>
      </c>
      <c r="D19" s="152">
        <f>ABS(I19)</f>
        <v>1</v>
      </c>
      <c r="E19" s="153">
        <f>ABS(TRUNC(J19))</f>
        <v>43</v>
      </c>
      <c r="F19" s="154">
        <f>(ABS(J19)-E19)*60</f>
        <v>4.51769999999982</v>
      </c>
      <c r="G19" s="170">
        <f>IF(UPPER(H19)="W",(I19+(J19/60))*-1,(I19+(J19/60)))</f>
        <v>1.7179215833333332</v>
      </c>
      <c r="H19" s="171" t="s">
        <v>106</v>
      </c>
      <c r="I19" s="172">
        <v>1</v>
      </c>
      <c r="J19" s="173">
        <v>43.075295</v>
      </c>
    </row>
  </sheetData>
  <sheetProtection/>
  <mergeCells count="13">
    <mergeCell ref="B10:F10"/>
    <mergeCell ref="H10:J10"/>
    <mergeCell ref="H17:J17"/>
    <mergeCell ref="H11:J11"/>
    <mergeCell ref="B15:J15"/>
    <mergeCell ref="B16:G16"/>
    <mergeCell ref="I16:J16"/>
    <mergeCell ref="B1:J1"/>
    <mergeCell ref="B3:J3"/>
    <mergeCell ref="B4:F4"/>
    <mergeCell ref="G4:J4"/>
    <mergeCell ref="H5:J5"/>
    <mergeCell ref="B9:J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P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.7109375" style="0" customWidth="1"/>
    <col min="4" max="4" width="12.421875" style="0" bestFit="1" customWidth="1"/>
    <col min="6" max="6" width="7.7109375" style="0" customWidth="1"/>
    <col min="7" max="7" width="10.7109375" style="0" customWidth="1"/>
    <col min="10" max="11" width="3.57421875" style="0" customWidth="1"/>
    <col min="12" max="12" width="5.7109375" style="0" customWidth="1"/>
    <col min="13" max="14" width="3.57421875" style="0" customWidth="1"/>
    <col min="15" max="15" width="6.28125" style="0" customWidth="1"/>
  </cols>
  <sheetData>
    <row r="1" spans="2:10" ht="14.25" customHeight="1">
      <c r="B1" s="191" t="s">
        <v>114</v>
      </c>
      <c r="C1" s="191"/>
      <c r="D1" s="191"/>
      <c r="E1" s="191"/>
      <c r="F1" s="191"/>
      <c r="G1" s="191"/>
      <c r="H1" s="191"/>
      <c r="I1" s="191"/>
      <c r="J1" s="191"/>
    </row>
    <row r="2" ht="13.5" thickBot="1">
      <c r="B2" s="19" t="s">
        <v>109</v>
      </c>
    </row>
    <row r="3" spans="2:15" ht="12.75">
      <c r="B3" s="45" t="s">
        <v>73</v>
      </c>
      <c r="C3" s="46"/>
      <c r="D3" s="32" t="s">
        <v>21</v>
      </c>
      <c r="E3" s="32" t="s">
        <v>22</v>
      </c>
      <c r="F3" s="46"/>
      <c r="G3" s="33" t="s">
        <v>63</v>
      </c>
      <c r="H3" s="32" t="s">
        <v>21</v>
      </c>
      <c r="I3" s="34" t="s">
        <v>22</v>
      </c>
      <c r="J3" s="32" t="s">
        <v>65</v>
      </c>
      <c r="K3" s="32"/>
      <c r="L3" s="32"/>
      <c r="M3" s="32" t="s">
        <v>66</v>
      </c>
      <c r="N3" s="32"/>
      <c r="O3" s="34"/>
    </row>
    <row r="4" spans="2:15" ht="13.5" thickBot="1">
      <c r="B4" s="77"/>
      <c r="C4" s="78" t="s">
        <v>67</v>
      </c>
      <c r="D4" s="73">
        <v>32.212883118588394</v>
      </c>
      <c r="E4" s="73">
        <v>34.785820241617394</v>
      </c>
      <c r="F4" s="2"/>
      <c r="G4" s="1"/>
      <c r="H4" s="37"/>
      <c r="I4" s="38"/>
      <c r="J4" s="25"/>
      <c r="K4" s="25"/>
      <c r="L4" s="27"/>
      <c r="M4" s="25"/>
      <c r="N4" s="25"/>
      <c r="O4" s="28"/>
    </row>
    <row r="5" spans="2:15" ht="12.75">
      <c r="B5" s="48"/>
      <c r="C5" s="43"/>
      <c r="D5" s="32" t="s">
        <v>19</v>
      </c>
      <c r="E5" s="32" t="s">
        <v>20</v>
      </c>
      <c r="F5" s="2"/>
      <c r="H5" s="37"/>
      <c r="I5" s="38"/>
      <c r="J5" s="25"/>
      <c r="K5" s="25"/>
      <c r="L5" s="27"/>
      <c r="M5" s="25"/>
      <c r="N5" s="25"/>
      <c r="O5" s="28"/>
    </row>
    <row r="6" spans="2:16" ht="12.75">
      <c r="B6" s="48" t="s">
        <v>89</v>
      </c>
      <c r="C6" s="43"/>
      <c r="D6" s="81">
        <f>'WGS84 to UTM'!W2</f>
        <v>129999.9941947478</v>
      </c>
      <c r="E6" s="81">
        <f>'WGS84 to UTM'!X2</f>
        <v>1180000.9129647114</v>
      </c>
      <c r="F6" s="2"/>
      <c r="G6" s="102" t="s">
        <v>112</v>
      </c>
      <c r="H6" s="83">
        <f>'abridged Molodensky'!Q3</f>
        <v>32.21255225451588</v>
      </c>
      <c r="I6" s="88">
        <f>'abridged Molodensky'!R3</f>
        <v>34.785138610089824</v>
      </c>
      <c r="J6" s="89">
        <f>TRUNC(H6)</f>
        <v>32</v>
      </c>
      <c r="K6" s="89">
        <f>TRUNC((H6-J6)*60)</f>
        <v>12</v>
      </c>
      <c r="L6" s="90">
        <f>3600*(H6-J6-K6/60)</f>
        <v>45.18811625715837</v>
      </c>
      <c r="M6" s="89">
        <f>TRUNC(I6)</f>
        <v>34</v>
      </c>
      <c r="N6" s="89">
        <f>TRUNC((I6-M6)*60)</f>
        <v>47</v>
      </c>
      <c r="O6" s="91">
        <f>3600*(I6-M6-N6/60)</f>
        <v>6.498996323366013</v>
      </c>
      <c r="P6" s="1"/>
    </row>
    <row r="7" spans="2:16" ht="12.75">
      <c r="B7" s="48" t="s">
        <v>95</v>
      </c>
      <c r="C7" s="43"/>
      <c r="D7" s="81">
        <f>'WGS84 to UTM'!W3</f>
        <v>179984.141750802</v>
      </c>
      <c r="E7" s="81">
        <f>'WGS84 to UTM'!X3</f>
        <v>679994.5102654751</v>
      </c>
      <c r="F7" s="2"/>
      <c r="G7" s="102" t="s">
        <v>111</v>
      </c>
      <c r="H7" s="83">
        <f>'abridged Molodensky'!Q9</f>
        <v>32.212447701493296</v>
      </c>
      <c r="I7" s="88">
        <f>'abridged Molodensky'!R9</f>
        <v>34.78505061961733</v>
      </c>
      <c r="J7" s="89">
        <f>TRUNC(H7)</f>
        <v>32</v>
      </c>
      <c r="K7" s="89">
        <f>TRUNC((H7-J7)*60)</f>
        <v>12</v>
      </c>
      <c r="L7" s="90">
        <f>3600*(H7-J7-K7/60)</f>
        <v>44.81172537586697</v>
      </c>
      <c r="M7" s="89">
        <f>TRUNC(I7)</f>
        <v>34</v>
      </c>
      <c r="N7" s="89">
        <f>TRUNC((I7-M7)*60)</f>
        <v>47</v>
      </c>
      <c r="O7" s="91">
        <f>3600*(I7-M7-N7/60)</f>
        <v>6.182230622387719</v>
      </c>
      <c r="P7" s="1"/>
    </row>
    <row r="8" spans="2:15" ht="13.5" thickBot="1">
      <c r="B8" s="42" t="s">
        <v>23</v>
      </c>
      <c r="C8" s="50"/>
      <c r="D8" s="82">
        <f>'WGS84 to UTM'!W4</f>
        <v>668301.219440642</v>
      </c>
      <c r="E8" s="82">
        <f>'WGS84 to UTM'!X4</f>
        <v>3565431.0057453825</v>
      </c>
      <c r="F8" s="87">
        <f>'WGS84 to UTM'!Y4</f>
        <v>36</v>
      </c>
      <c r="G8" s="3"/>
      <c r="H8" s="39"/>
      <c r="I8" s="40"/>
      <c r="J8" s="26"/>
      <c r="K8" s="26"/>
      <c r="L8" s="29"/>
      <c r="M8" s="26"/>
      <c r="N8" s="26"/>
      <c r="O8" s="30"/>
    </row>
    <row r="9" spans="4:5" ht="13.5" thickBot="1">
      <c r="D9" s="24"/>
      <c r="E9" s="24"/>
    </row>
    <row r="10" spans="2:15" ht="12.75">
      <c r="B10" s="31" t="s">
        <v>74</v>
      </c>
      <c r="C10" s="32"/>
      <c r="D10" s="32" t="s">
        <v>19</v>
      </c>
      <c r="E10" s="32" t="s">
        <v>20</v>
      </c>
      <c r="F10" s="47"/>
      <c r="G10" s="33" t="s">
        <v>63</v>
      </c>
      <c r="H10" s="32" t="s">
        <v>21</v>
      </c>
      <c r="I10" s="34" t="s">
        <v>22</v>
      </c>
      <c r="J10" s="32" t="s">
        <v>65</v>
      </c>
      <c r="K10" s="32"/>
      <c r="L10" s="32"/>
      <c r="M10" s="32" t="s">
        <v>66</v>
      </c>
      <c r="N10" s="32"/>
      <c r="O10" s="34"/>
    </row>
    <row r="11" spans="2:15" ht="13.5" thickBot="1">
      <c r="B11" s="77"/>
      <c r="C11" s="78" t="s">
        <v>67</v>
      </c>
      <c r="D11" s="73">
        <v>174528.228</v>
      </c>
      <c r="E11" s="73">
        <v>621193.602</v>
      </c>
      <c r="F11" s="49" t="s">
        <v>113</v>
      </c>
      <c r="G11" s="1"/>
      <c r="H11" s="37"/>
      <c r="I11" s="38"/>
      <c r="J11" s="25"/>
      <c r="K11" s="25"/>
      <c r="L11" s="27"/>
      <c r="M11" s="25"/>
      <c r="N11" s="25"/>
      <c r="O11" s="28"/>
    </row>
    <row r="12" spans="2:15" ht="12.75">
      <c r="B12" s="35"/>
      <c r="C12" s="36"/>
      <c r="D12" s="46" t="s">
        <v>21</v>
      </c>
      <c r="E12" s="46" t="s">
        <v>22</v>
      </c>
      <c r="F12" s="2"/>
      <c r="G12" s="1"/>
      <c r="H12" s="37"/>
      <c r="I12" s="38"/>
      <c r="J12" s="25"/>
      <c r="K12" s="25"/>
      <c r="L12" s="27"/>
      <c r="M12" s="25"/>
      <c r="N12" s="25"/>
      <c r="O12" s="28"/>
    </row>
    <row r="13" spans="2:15" ht="13.5" thickBot="1">
      <c r="B13" s="35" t="s">
        <v>24</v>
      </c>
      <c r="C13" s="36"/>
      <c r="D13" s="84">
        <f>'abridged Molodensky'!Q5</f>
        <v>27.172382808722258</v>
      </c>
      <c r="E13" s="84">
        <f>'abridged Molodensky'!R5</f>
        <v>35.25590085320686</v>
      </c>
      <c r="F13" s="2"/>
      <c r="G13" s="102" t="s">
        <v>112</v>
      </c>
      <c r="H13" s="83">
        <f>'UTM to WGS84'!AB4</f>
        <v>27.171834295050473</v>
      </c>
      <c r="I13" s="83">
        <f>'UTM to WGS84'!AC4</f>
        <v>35.25523252075978</v>
      </c>
      <c r="J13" s="89">
        <f>TRUNC(H13)</f>
        <v>27</v>
      </c>
      <c r="K13" s="89">
        <f>TRUNC((H13-J13)*60)</f>
        <v>10</v>
      </c>
      <c r="L13" s="92">
        <f>3600*(H13-J13-K13/60)</f>
        <v>18.603462181704376</v>
      </c>
      <c r="M13" s="89">
        <f>TRUNC(I13)</f>
        <v>35</v>
      </c>
      <c r="N13" s="89">
        <f>TRUNC((I13-M13)*60)</f>
        <v>15</v>
      </c>
      <c r="O13" s="91">
        <f>3600*(I13-M13-N13/60)</f>
        <v>18.837074735219517</v>
      </c>
    </row>
    <row r="14" spans="2:15" ht="12.75">
      <c r="B14" s="45" t="s">
        <v>75</v>
      </c>
      <c r="C14" s="46"/>
      <c r="D14" s="32" t="s">
        <v>19</v>
      </c>
      <c r="E14" s="32" t="s">
        <v>20</v>
      </c>
      <c r="F14" s="46"/>
      <c r="G14" s="33" t="s">
        <v>63</v>
      </c>
      <c r="H14" s="32" t="s">
        <v>21</v>
      </c>
      <c r="I14" s="34" t="s">
        <v>22</v>
      </c>
      <c r="J14" s="33" t="s">
        <v>65</v>
      </c>
      <c r="K14" s="32"/>
      <c r="L14" s="32"/>
      <c r="M14" s="32" t="s">
        <v>66</v>
      </c>
      <c r="N14" s="32"/>
      <c r="O14" s="34"/>
    </row>
    <row r="15" spans="2:15" ht="13.5" thickBot="1">
      <c r="B15" s="77"/>
      <c r="C15" s="78" t="s">
        <v>67</v>
      </c>
      <c r="D15" s="174">
        <v>166057.262</v>
      </c>
      <c r="E15" s="73">
        <v>592962.969</v>
      </c>
      <c r="F15" s="2" t="s">
        <v>116</v>
      </c>
      <c r="G15" s="1"/>
      <c r="H15" s="37"/>
      <c r="I15" s="38"/>
      <c r="J15" s="55"/>
      <c r="K15" s="25"/>
      <c r="L15" s="27"/>
      <c r="M15" s="25"/>
      <c r="N15" s="25"/>
      <c r="O15" s="28"/>
    </row>
    <row r="16" spans="2:15" ht="12.75">
      <c r="B16" s="48"/>
      <c r="C16" s="43"/>
      <c r="D16" s="46" t="s">
        <v>21</v>
      </c>
      <c r="E16" s="46" t="s">
        <v>22</v>
      </c>
      <c r="F16" s="2"/>
      <c r="G16" s="1"/>
      <c r="H16" s="37"/>
      <c r="I16" s="38"/>
      <c r="J16" s="55"/>
      <c r="K16" s="25"/>
      <c r="L16" s="27"/>
      <c r="M16" s="25"/>
      <c r="N16" s="25"/>
      <c r="O16" s="28"/>
    </row>
    <row r="17" spans="2:15" ht="13.5" thickBot="1">
      <c r="B17" s="42" t="s">
        <v>24</v>
      </c>
      <c r="C17" s="50"/>
      <c r="D17" s="86">
        <v>31.25783</v>
      </c>
      <c r="E17" s="86">
        <v>34.75398</v>
      </c>
      <c r="F17" s="4"/>
      <c r="G17" s="102" t="s">
        <v>111</v>
      </c>
      <c r="H17" s="85">
        <f>'UTM to WGS84'!AB3</f>
        <v>31.42702358034394</v>
      </c>
      <c r="I17" s="93">
        <f>'UTM to WGS84'!AC3</f>
        <v>34.642108431957574</v>
      </c>
      <c r="J17" s="94">
        <f>TRUNC(H17)</f>
        <v>31</v>
      </c>
      <c r="K17" s="95">
        <f>TRUNC((H17-J17)*60)</f>
        <v>25</v>
      </c>
      <c r="L17" s="96">
        <f>3600*(H17-J17-K17/60)</f>
        <v>37.284889238178145</v>
      </c>
      <c r="M17" s="95">
        <f>TRUNC(I17)</f>
        <v>34</v>
      </c>
      <c r="N17" s="95">
        <f>TRUNC((I17-M17)*60)</f>
        <v>38</v>
      </c>
      <c r="O17" s="97">
        <f>3600*(I17-M17-N17/60)</f>
        <v>31.590355047266705</v>
      </c>
    </row>
    <row r="18" spans="2:15" ht="12.75">
      <c r="B18" s="31" t="s">
        <v>18</v>
      </c>
      <c r="C18" s="32"/>
      <c r="D18" s="32" t="s">
        <v>19</v>
      </c>
      <c r="E18" s="32" t="s">
        <v>20</v>
      </c>
      <c r="F18" s="32"/>
      <c r="G18" s="33" t="s">
        <v>63</v>
      </c>
      <c r="H18" s="32" t="s">
        <v>21</v>
      </c>
      <c r="I18" s="34" t="s">
        <v>22</v>
      </c>
      <c r="J18" s="32" t="s">
        <v>65</v>
      </c>
      <c r="K18" s="32"/>
      <c r="L18" s="32"/>
      <c r="M18" s="32" t="s">
        <v>66</v>
      </c>
      <c r="N18" s="32"/>
      <c r="O18" s="34"/>
    </row>
    <row r="19" spans="2:15" ht="13.5" thickBot="1">
      <c r="B19" s="79"/>
      <c r="C19" s="80" t="s">
        <v>67</v>
      </c>
      <c r="D19" s="74">
        <v>668316.961466965</v>
      </c>
      <c r="E19" s="74">
        <v>3565436.74935868</v>
      </c>
      <c r="F19" s="75">
        <v>36</v>
      </c>
      <c r="G19" s="3" t="s">
        <v>24</v>
      </c>
      <c r="H19" s="86">
        <f>'UTM to WGS84'!AB2</f>
        <v>32.21293254977372</v>
      </c>
      <c r="I19" s="86">
        <f>'UTM to WGS84'!AC2</f>
        <v>34.785988219715904</v>
      </c>
      <c r="J19" s="95">
        <f>TRUNC(H19)</f>
        <v>32</v>
      </c>
      <c r="K19" s="95">
        <f>TRUNC((H19-J19)*60)</f>
        <v>12</v>
      </c>
      <c r="L19" s="96">
        <f>3600*(H19-J19-K19/60)</f>
        <v>46.557179185386374</v>
      </c>
      <c r="M19" s="95">
        <f>TRUNC(I19)</f>
        <v>34</v>
      </c>
      <c r="N19" s="95">
        <f>TRUNC((I19-M19)*60)</f>
        <v>47</v>
      </c>
      <c r="O19" s="97">
        <f>3600*(I19-M19-N19/60)</f>
        <v>9.557590977253794</v>
      </c>
    </row>
    <row r="20" ht="12.75">
      <c r="B20" t="s">
        <v>117</v>
      </c>
    </row>
    <row r="21" ht="12.75">
      <c r="B21" s="51" t="s">
        <v>115</v>
      </c>
    </row>
    <row r="23" spans="4:5" ht="12.75">
      <c r="D23" s="37"/>
      <c r="E23" s="37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20"/>
  <sheetViews>
    <sheetView zoomScalePageLayoutView="0" workbookViewId="0" topLeftCell="A7">
      <selection activeCell="A17" sqref="A17"/>
    </sheetView>
  </sheetViews>
  <sheetFormatPr defaultColWidth="9.140625" defaultRowHeight="12.75"/>
  <sheetData>
    <row r="1" ht="12.75">
      <c r="A1" s="19" t="s">
        <v>69</v>
      </c>
    </row>
    <row r="2" ht="12.75">
      <c r="A2" s="41" t="s">
        <v>68</v>
      </c>
    </row>
    <row r="4" ht="12.75">
      <c r="A4" s="19" t="s">
        <v>71</v>
      </c>
    </row>
    <row r="5" ht="13.5" thickBot="1">
      <c r="A5" t="s">
        <v>70</v>
      </c>
    </row>
    <row r="6" spans="1:3" ht="12.75">
      <c r="A6" s="5" t="s">
        <v>25</v>
      </c>
      <c r="B6" s="6"/>
      <c r="C6" s="7"/>
    </row>
    <row r="7" spans="1:4" ht="12.75">
      <c r="A7" s="8" t="s">
        <v>26</v>
      </c>
      <c r="B7" s="9" t="s">
        <v>27</v>
      </c>
      <c r="C7" s="10" t="s">
        <v>28</v>
      </c>
      <c r="D7" s="21" t="s">
        <v>37</v>
      </c>
    </row>
    <row r="8" spans="1:4" ht="13.5" thickBot="1">
      <c r="A8" s="11">
        <v>17</v>
      </c>
      <c r="B8" s="12">
        <v>40</v>
      </c>
      <c r="C8" s="13">
        <v>0</v>
      </c>
      <c r="D8">
        <f>A8+B8/60+C8/3600</f>
        <v>17.666666666666668</v>
      </c>
    </row>
    <row r="9" ht="13.5" thickBot="1"/>
    <row r="10" spans="1:8" ht="12.75">
      <c r="A10" s="5" t="s">
        <v>64</v>
      </c>
      <c r="B10" s="6"/>
      <c r="C10" s="6"/>
      <c r="D10" s="6" t="s">
        <v>8</v>
      </c>
      <c r="E10" s="6" t="s">
        <v>9</v>
      </c>
      <c r="F10" s="7" t="s">
        <v>10</v>
      </c>
      <c r="G10" s="9" t="s">
        <v>92</v>
      </c>
      <c r="H10" s="9" t="s">
        <v>93</v>
      </c>
    </row>
    <row r="11" spans="1:6" ht="12.75">
      <c r="A11" s="8" t="s">
        <v>29</v>
      </c>
      <c r="B11" s="9"/>
      <c r="C11" s="9"/>
      <c r="D11" s="14">
        <v>589</v>
      </c>
      <c r="E11" s="14">
        <v>76</v>
      </c>
      <c r="F11" s="15">
        <v>480</v>
      </c>
    </row>
    <row r="12" spans="1:6" ht="12.75">
      <c r="A12" s="8" t="s">
        <v>72</v>
      </c>
      <c r="B12" s="9"/>
      <c r="C12" s="9"/>
      <c r="D12" s="14">
        <v>-26</v>
      </c>
      <c r="E12" s="14">
        <v>121</v>
      </c>
      <c r="F12" s="15">
        <v>78</v>
      </c>
    </row>
    <row r="13" spans="1:6" ht="12.75">
      <c r="A13" s="8" t="s">
        <v>30</v>
      </c>
      <c r="B13" s="9"/>
      <c r="C13" s="9"/>
      <c r="D13" s="14">
        <v>-563</v>
      </c>
      <c r="E13" s="14">
        <v>-197</v>
      </c>
      <c r="F13" s="15">
        <v>-558</v>
      </c>
    </row>
    <row r="14" spans="1:6" ht="13.5" thickBot="1">
      <c r="A14" s="20" t="s">
        <v>31</v>
      </c>
      <c r="B14" s="16"/>
      <c r="C14" s="16"/>
      <c r="D14" s="17">
        <f>SUM(D11:D13)</f>
        <v>0</v>
      </c>
      <c r="E14" s="17">
        <f>SUM(E11:E13)</f>
        <v>0</v>
      </c>
      <c r="F14" s="18">
        <f>SUM(F11:F13)</f>
        <v>0</v>
      </c>
    </row>
    <row r="15" spans="1:8" ht="12.75">
      <c r="A15" s="101" t="s">
        <v>80</v>
      </c>
      <c r="B15" s="101"/>
      <c r="C15" s="101"/>
      <c r="D15" s="76">
        <v>-235</v>
      </c>
      <c r="E15" s="76">
        <v>-85</v>
      </c>
      <c r="F15" s="99">
        <v>264</v>
      </c>
      <c r="G15" s="76">
        <v>-163.789</v>
      </c>
      <c r="H15" s="76">
        <v>-5.4739085E-05</v>
      </c>
    </row>
    <row r="16" spans="1:8" ht="12.75">
      <c r="A16" s="101" t="s">
        <v>110</v>
      </c>
      <c r="B16" s="101"/>
      <c r="C16" s="101"/>
      <c r="D16" s="76">
        <v>-48</v>
      </c>
      <c r="E16" s="76">
        <v>55</v>
      </c>
      <c r="F16" s="99">
        <v>52</v>
      </c>
      <c r="G16" s="76">
        <v>0</v>
      </c>
      <c r="H16" s="100">
        <v>-1.64343213517049E-11</v>
      </c>
    </row>
    <row r="17" spans="4:6" ht="12.75">
      <c r="D17">
        <f>D15-D16</f>
        <v>-187</v>
      </c>
      <c r="E17">
        <f>E15-E16</f>
        <v>-140</v>
      </c>
      <c r="F17">
        <f>F15-F16</f>
        <v>212</v>
      </c>
    </row>
    <row r="18" spans="4:7" ht="12.75">
      <c r="D18" s="14">
        <v>181</v>
      </c>
      <c r="E18" s="14">
        <v>122</v>
      </c>
      <c r="F18" s="14">
        <v>-225</v>
      </c>
      <c r="G18" t="s">
        <v>96</v>
      </c>
    </row>
    <row r="19" spans="4:6" ht="12.75">
      <c r="D19">
        <f>D17+D18</f>
        <v>-6</v>
      </c>
      <c r="E19">
        <f>E17+E18</f>
        <v>-18</v>
      </c>
      <c r="F19">
        <f>F17+F18</f>
        <v>-13</v>
      </c>
    </row>
    <row r="20" spans="4:6" ht="12.75">
      <c r="D20">
        <f>D16+D19</f>
        <v>-54</v>
      </c>
      <c r="E20">
        <f>E16+E19</f>
        <v>37</v>
      </c>
      <c r="F20">
        <f>F16+F19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4:A4"/>
  <sheetViews>
    <sheetView zoomScalePageLayoutView="0" workbookViewId="0" topLeftCell="A1">
      <selection activeCell="A4" sqref="A4"/>
    </sheetView>
  </sheetViews>
  <sheetFormatPr defaultColWidth="9.140625" defaultRowHeight="12.75"/>
  <sheetData>
    <row r="4" ht="12.75">
      <c r="A4" s="103" t="s">
        <v>118</v>
      </c>
    </row>
  </sheetData>
  <sheetProtection/>
  <hyperlinks>
    <hyperlink ref="A4" r:id="rId1" display="מפת Transverse Mecartor-השיטה למפת ישראל, UTM ועוד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S21"/>
  <sheetViews>
    <sheetView zoomScalePageLayoutView="0" workbookViewId="0" topLeftCell="F1">
      <selection activeCell="L5" sqref="L5"/>
    </sheetView>
  </sheetViews>
  <sheetFormatPr defaultColWidth="9.140625" defaultRowHeight="12.75"/>
  <cols>
    <col min="5" max="5" width="10.28125" style="0" customWidth="1"/>
    <col min="6" max="7" width="13.140625" style="0" bestFit="1" customWidth="1"/>
    <col min="9" max="11" width="4.28125" style="0" customWidth="1"/>
    <col min="12" max="12" width="12.421875" style="0" bestFit="1" customWidth="1"/>
  </cols>
  <sheetData>
    <row r="1" spans="1:18" ht="12.75">
      <c r="A1" s="56" t="s">
        <v>4</v>
      </c>
      <c r="B1" s="56" t="s">
        <v>5</v>
      </c>
      <c r="C1" s="56" t="s">
        <v>6</v>
      </c>
      <c r="D1" s="56" t="s">
        <v>7</v>
      </c>
      <c r="E1" s="56" t="s">
        <v>0</v>
      </c>
      <c r="F1" s="56" t="s">
        <v>1</v>
      </c>
      <c r="G1" s="56" t="s">
        <v>2</v>
      </c>
      <c r="H1" s="56" t="s">
        <v>3</v>
      </c>
      <c r="I1" s="56" t="s">
        <v>8</v>
      </c>
      <c r="J1" s="56" t="s">
        <v>9</v>
      </c>
      <c r="K1" s="56" t="s">
        <v>10</v>
      </c>
      <c r="L1" s="56" t="s">
        <v>13</v>
      </c>
      <c r="M1" s="56" t="s">
        <v>11</v>
      </c>
      <c r="N1" s="56" t="s">
        <v>12</v>
      </c>
      <c r="O1" s="56" t="s">
        <v>14</v>
      </c>
      <c r="P1" s="56" t="s">
        <v>15</v>
      </c>
      <c r="Q1" s="56" t="s">
        <v>16</v>
      </c>
      <c r="R1" s="56" t="s">
        <v>17</v>
      </c>
    </row>
    <row r="2" ht="12.75">
      <c r="A2" t="s">
        <v>86</v>
      </c>
    </row>
    <row r="3" spans="1:19" ht="12.75">
      <c r="A3" s="44">
        <f>Main!D4</f>
        <v>32.212883118588394</v>
      </c>
      <c r="B3" s="66">
        <f>Main!E4</f>
        <v>34.785820241617394</v>
      </c>
      <c r="C3">
        <f aca="true" t="shared" si="0" ref="C3:D5">A3*PI()/180</f>
        <v>0.5622208719794665</v>
      </c>
      <c r="D3">
        <f t="shared" si="0"/>
        <v>0.6071270962231129</v>
      </c>
      <c r="E3">
        <v>6378137</v>
      </c>
      <c r="F3">
        <v>0.003352810664748973</v>
      </c>
      <c r="G3">
        <v>6378300.789</v>
      </c>
      <c r="H3">
        <v>0.0034075470435707693</v>
      </c>
      <c r="I3">
        <f>-Parameters!D15</f>
        <v>235</v>
      </c>
      <c r="J3">
        <f>-Parameters!E15</f>
        <v>85</v>
      </c>
      <c r="K3">
        <f>-Parameters!F15</f>
        <v>-264</v>
      </c>
      <c r="L3">
        <f>SQRT(2*F3-F3*F3)</f>
        <v>0.08181919084263967</v>
      </c>
      <c r="M3">
        <f>E3*(1-L3*L3)/POWER((1-L3*L3*SIN(C3)*SIN(C3)),1.5)</f>
        <v>6353560.025934193</v>
      </c>
      <c r="N3">
        <f>E3/SQRT(1-L3*L3*SIN(C3)*SIN(C3))</f>
        <v>6384212.1526119895</v>
      </c>
      <c r="O3">
        <f>(-I3*SIN(C3)*COS(D3)-J3*SIN(C3)*SIN(D3)+K3*COS(C3)+(E3*(H3-F3)+F3*(G3-E3))*SIN(2*C3))/(M3*SIN(PI()/180/3600))</f>
        <v>-1.1911106610562123</v>
      </c>
      <c r="P3">
        <f>(-I3*SIN(D3)+J3*COS(D3))/(N3*COS(C3)*SIN(PI()/180/3600))</f>
        <v>-2.4538734992556157</v>
      </c>
      <c r="Q3">
        <f aca="true" t="shared" si="1" ref="Q3:R5">A3+O3/3600</f>
        <v>32.21255225451588</v>
      </c>
      <c r="R3">
        <f t="shared" si="1"/>
        <v>34.785138610089824</v>
      </c>
      <c r="S3" t="s">
        <v>87</v>
      </c>
    </row>
    <row r="4" spans="1:19" ht="12.75">
      <c r="A4" s="57">
        <f>'UTM to WGS84'!AB2</f>
        <v>32.21293254977372</v>
      </c>
      <c r="B4" s="57">
        <f>'UTM to WGS84'!AC2</f>
        <v>34.785988219715904</v>
      </c>
      <c r="C4">
        <f t="shared" si="0"/>
        <v>0.5622217347164036</v>
      </c>
      <c r="D4">
        <f t="shared" si="0"/>
        <v>0.6071300279940032</v>
      </c>
      <c r="E4">
        <v>6378300.789</v>
      </c>
      <c r="F4">
        <v>0.0034075470435707693</v>
      </c>
      <c r="G4">
        <v>6378137</v>
      </c>
      <c r="H4">
        <v>0.003352810664748973</v>
      </c>
      <c r="I4">
        <f>Parameters!D15</f>
        <v>-235</v>
      </c>
      <c r="J4">
        <f>Parameters!E15</f>
        <v>-85</v>
      </c>
      <c r="K4">
        <f>Parameters!F15</f>
        <v>264</v>
      </c>
      <c r="L4">
        <f>SQRT(2*F4-F4*F4)</f>
        <v>0.08248322684211251</v>
      </c>
      <c r="M4">
        <f>E4*(1-L4*L4)/POWER((1-L4*L4*SIN(C4)*SIN(C4)),1.5)</f>
        <v>6353321.36922678</v>
      </c>
      <c r="N4">
        <f>E4/SQRT(1-L4*L4*SIN(C4)*SIN(C4))</f>
        <v>6384475.271680536</v>
      </c>
      <c r="O4">
        <f>(-I4*SIN(C4)*COS(D4)-J4*SIN(C4)*SIN(D4)+K4*COS(C4)+(E4*(H4-F4)+F4*(G4-E4))*SIN(2*C4))/(M4*SIN(PI()/180/3600))</f>
        <v>1.1906203777905842</v>
      </c>
      <c r="P4">
        <f>(-I4*SIN(D4)+J4*COS(D4))/(N4*COS(C4)*SIN(PI()/180/3600))</f>
        <v>2.453800738629258</v>
      </c>
      <c r="Q4" s="65">
        <f t="shared" si="1"/>
        <v>32.21326327765644</v>
      </c>
      <c r="R4" s="65">
        <f t="shared" si="1"/>
        <v>34.78666983103219</v>
      </c>
      <c r="S4" t="s">
        <v>88</v>
      </c>
    </row>
    <row r="5" spans="1:18" ht="12.75">
      <c r="A5" s="57">
        <f>'UTM to WGS84'!AB4</f>
        <v>27.171834295050473</v>
      </c>
      <c r="B5" s="57">
        <f>'UTM to WGS84'!AC4</f>
        <v>35.25523252075978</v>
      </c>
      <c r="C5">
        <f t="shared" si="0"/>
        <v>0.47423797225494313</v>
      </c>
      <c r="D5">
        <f t="shared" si="0"/>
        <v>0.6153198860434383</v>
      </c>
      <c r="E5">
        <v>6378300.789</v>
      </c>
      <c r="F5">
        <v>0.0034075470435707693</v>
      </c>
      <c r="G5">
        <v>6378137</v>
      </c>
      <c r="H5">
        <v>0.003352810664748973</v>
      </c>
      <c r="I5">
        <v>-235</v>
      </c>
      <c r="J5">
        <v>-85</v>
      </c>
      <c r="K5">
        <v>264</v>
      </c>
      <c r="L5">
        <f>SQRT(2*F5-F5*F5)</f>
        <v>0.08248322684211251</v>
      </c>
      <c r="M5">
        <f>E5*(1-L5*L5)/POWER((1-L5*L5*SIN(C5)*SIN(C5)),1.5)</f>
        <v>6348411.942354691</v>
      </c>
      <c r="N5">
        <f>E5/SQRT(1-L5*L5*SIN(C5)*SIN(C5))</f>
        <v>6382830.347728583</v>
      </c>
      <c r="O5">
        <f>(-I5*SIN(C5)*COS(D5)-J5*SIN(C5)*SIN(D5)+K5*COS(C5)+(E5*(H5-F5)+F5*(G5-E5))*SIN(2*C5))/(M5*SIN(PI()/180/3600))</f>
        <v>1.9746492184249045</v>
      </c>
      <c r="P5">
        <f>(-I5*SIN(D5)+J5*COS(D5))/(N5*COS(C5)*SIN(PI()/180/3600))</f>
        <v>2.4059968094701283</v>
      </c>
      <c r="Q5">
        <f t="shared" si="1"/>
        <v>27.172382808722258</v>
      </c>
      <c r="R5">
        <f t="shared" si="1"/>
        <v>35.25590085320686</v>
      </c>
    </row>
    <row r="6" spans="3:4" ht="12.75">
      <c r="C6">
        <f>E3-G3</f>
        <v>-163.78899999987334</v>
      </c>
      <c r="D6">
        <f>F4-H4</f>
        <v>5.473637882179652E-05</v>
      </c>
    </row>
    <row r="7" spans="5:6" ht="12.75">
      <c r="E7">
        <f>E5-G5</f>
        <v>163.78899999987334</v>
      </c>
      <c r="F7">
        <f>F5-H5</f>
        <v>5.473637882179652E-05</v>
      </c>
    </row>
    <row r="8" ht="12.75">
      <c r="A8" t="s">
        <v>81</v>
      </c>
    </row>
    <row r="9" spans="1:18" ht="12.75">
      <c r="A9" s="66">
        <f>Main!D4</f>
        <v>32.212883118588394</v>
      </c>
      <c r="B9" s="66">
        <f>Main!E4</f>
        <v>34.785820241617394</v>
      </c>
      <c r="C9">
        <f>A9*PI()/180</f>
        <v>0.5622208719794665</v>
      </c>
      <c r="D9">
        <f>B9*PI()/180</f>
        <v>0.6071270962231129</v>
      </c>
      <c r="E9">
        <v>6378137</v>
      </c>
      <c r="F9">
        <v>0.003352810664748973</v>
      </c>
      <c r="G9">
        <v>6378137</v>
      </c>
      <c r="H9">
        <v>0.003352810681183294</v>
      </c>
      <c r="I9">
        <f>-Parameters!D16</f>
        <v>48</v>
      </c>
      <c r="J9">
        <f>-Parameters!E16</f>
        <v>-55</v>
      </c>
      <c r="K9">
        <f>-Parameters!F16</f>
        <v>-52</v>
      </c>
      <c r="L9">
        <f>SQRT(2*F9-F9*F9)</f>
        <v>0.08181919084263967</v>
      </c>
      <c r="M9">
        <f>E9*(1-L9*L9)/POWER((1-L9*L9*SIN(C9)*SIN(C9)),1.5)</f>
        <v>6353560.025934193</v>
      </c>
      <c r="N9">
        <f>E9/SQRT(1-L9*L9*SIN(C9)*SIN(C9))</f>
        <v>6384212.1526119895</v>
      </c>
      <c r="O9">
        <f>(-I9*SIN(C9)*COS(D9)-J9*SIN(C9)*SIN(D9)+K9*COS(C9)+(E9*(H9-F9)+F9*(G9-E9))*SIN(2*C9))/(M9*SIN(PI()/180/3600))</f>
        <v>-1.5675015423515253</v>
      </c>
      <c r="P9">
        <f>(-I9*SIN(D9)+J9*COS(D9))/(N9*COS(C9)*SIN(PI()/180/3600))</f>
        <v>-2.770639200221196</v>
      </c>
      <c r="Q9" s="56">
        <f>A9+O9/3600</f>
        <v>32.212447701493296</v>
      </c>
      <c r="R9" s="56">
        <f>B9+P9/3600</f>
        <v>34.78505061961733</v>
      </c>
    </row>
    <row r="10" spans="1:18" ht="12.75">
      <c r="A10" s="57">
        <f>'UTM to WGS84'!AB3</f>
        <v>31.42702358034394</v>
      </c>
      <c r="B10" s="57">
        <f>'UTM to WGS84'!AC3</f>
        <v>34.642108431957574</v>
      </c>
      <c r="C10">
        <f>A10*PI()/180</f>
        <v>0.5485050355788984</v>
      </c>
      <c r="D10">
        <f>B10*PI()/180</f>
        <v>0.6046188519705497</v>
      </c>
      <c r="E10">
        <v>6378137</v>
      </c>
      <c r="F10">
        <v>0.003352810681183294</v>
      </c>
      <c r="G10">
        <v>6378137</v>
      </c>
      <c r="H10">
        <v>0.003352810664748973</v>
      </c>
      <c r="I10">
        <f>Parameters!D16</f>
        <v>-48</v>
      </c>
      <c r="J10">
        <f>Parameters!E16</f>
        <v>55</v>
      </c>
      <c r="K10">
        <f>Parameters!F16</f>
        <v>52</v>
      </c>
      <c r="L10">
        <f>SQRT(2*F10-F10*F10)</f>
        <v>0.08181919104282767</v>
      </c>
      <c r="M10">
        <f>E10*(1-L10*L10)/POWER((1-L10*L10*SIN(C10)*SIN(C10)),1.5)</f>
        <v>6352774.558839955</v>
      </c>
      <c r="N10">
        <f>E10/SQRT(1-L10*L10*SIN(C10)*SIN(C10))</f>
        <v>6383949.056338951</v>
      </c>
      <c r="O10">
        <f>(-I10*SIN(C10)*COS(D10)-J10*SIN(C10)*SIN(D10)+K10*COS(C10)+(E10*(H10-F10)+F10*(G10-E10))*SIN(2*C10))/(M10*SIN(PI()/180/3600))</f>
        <v>1.5799417124794608</v>
      </c>
      <c r="P10">
        <f>(-I10*SIN(D10)+J10*COS(D10))/(N10*COS(C10)*SIN(PI()/180/3600))</f>
        <v>2.746499037623607</v>
      </c>
      <c r="Q10" s="65">
        <f>A10+O10/3600</f>
        <v>31.427462453041848</v>
      </c>
      <c r="R10" s="65">
        <f>B10+P10/3600</f>
        <v>34.64287134835691</v>
      </c>
    </row>
    <row r="11" spans="1:18" ht="12.75">
      <c r="A11" s="57"/>
      <c r="B11" s="57"/>
      <c r="Q11" s="65"/>
      <c r="R11" s="65"/>
    </row>
    <row r="12" spans="3:12" ht="12.75">
      <c r="C12" t="s">
        <v>79</v>
      </c>
      <c r="D12">
        <v>6356752.31414035</v>
      </c>
      <c r="E12">
        <f>($G$9-D12)/$G$9</f>
        <v>0.003352810681183294</v>
      </c>
      <c r="F12" t="s">
        <v>94</v>
      </c>
      <c r="G12">
        <f>H9-F9</f>
        <v>1.643432135170486E-11</v>
      </c>
      <c r="H12">
        <f>SQRT(1-(D12/E9)^2)</f>
        <v>0.08181919104282803</v>
      </c>
      <c r="L12">
        <f>H12-L9</f>
        <v>2.0018836588420186E-10</v>
      </c>
    </row>
    <row r="13" spans="3:12" ht="12.75">
      <c r="C13" t="s">
        <v>82</v>
      </c>
      <c r="D13">
        <v>298.257222101</v>
      </c>
      <c r="E13">
        <f>1/D13</f>
        <v>0.003352810681182319</v>
      </c>
      <c r="G13">
        <f>E14-E12</f>
        <v>-1.643432135170486E-11</v>
      </c>
      <c r="L13">
        <f>H12-H14</f>
        <v>2.0018814383959693E-10</v>
      </c>
    </row>
    <row r="14" spans="3:8" ht="12.75">
      <c r="C14" t="s">
        <v>84</v>
      </c>
      <c r="D14">
        <v>6356752.31424517</v>
      </c>
      <c r="E14">
        <f>($G$9-D14)/$G$9</f>
        <v>0.003352810664748973</v>
      </c>
      <c r="H14">
        <f>SQRT(1-(D14/E9)^2)</f>
        <v>0.08181919084263989</v>
      </c>
    </row>
    <row r="15" ht="12.75">
      <c r="C15" t="s">
        <v>82</v>
      </c>
    </row>
    <row r="16" ht="12.75">
      <c r="D16">
        <v>6356752.31414035</v>
      </c>
    </row>
    <row r="18" ht="12.75">
      <c r="C18" t="s">
        <v>119</v>
      </c>
    </row>
    <row r="19" ht="14.25">
      <c r="C19" t="s">
        <v>120</v>
      </c>
    </row>
    <row r="20" ht="12.75">
      <c r="C20" t="s">
        <v>121</v>
      </c>
    </row>
    <row r="21" spans="4:5" ht="12.75">
      <c r="D21">
        <v>293.466240357035</v>
      </c>
      <c r="E21">
        <f>1/D21</f>
        <v>0.003407546976386062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2.57421875" style="0" customWidth="1"/>
    <col min="4" max="4" width="9.57421875" style="0" bestFit="1" customWidth="1"/>
    <col min="7" max="7" width="10.57421875" style="0" bestFit="1" customWidth="1"/>
    <col min="9" max="9" width="10.57421875" style="0" bestFit="1" customWidth="1"/>
    <col min="24" max="24" width="9.57421875" style="0" bestFit="1" customWidth="1"/>
  </cols>
  <sheetData>
    <row r="1" spans="1:25" ht="12.75">
      <c r="A1" t="s">
        <v>35</v>
      </c>
      <c r="B1" t="s">
        <v>58</v>
      </c>
      <c r="C1" t="s">
        <v>36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34</v>
      </c>
      <c r="J1" t="s">
        <v>45</v>
      </c>
      <c r="K1" t="s">
        <v>46</v>
      </c>
      <c r="L1" t="s">
        <v>56</v>
      </c>
      <c r="M1" t="s">
        <v>57</v>
      </c>
      <c r="N1" t="s">
        <v>50</v>
      </c>
      <c r="O1" t="s">
        <v>12</v>
      </c>
      <c r="P1" t="s">
        <v>59</v>
      </c>
      <c r="Q1" t="s">
        <v>60</v>
      </c>
      <c r="R1" t="s">
        <v>61</v>
      </c>
      <c r="S1" t="s">
        <v>11</v>
      </c>
      <c r="T1" t="s">
        <v>47</v>
      </c>
      <c r="U1" t="s">
        <v>32</v>
      </c>
      <c r="V1" t="s">
        <v>33</v>
      </c>
      <c r="W1" t="s">
        <v>38</v>
      </c>
      <c r="X1" t="s">
        <v>39</v>
      </c>
      <c r="Y1" t="s">
        <v>62</v>
      </c>
    </row>
    <row r="2" ht="12.75">
      <c r="A2" t="s">
        <v>90</v>
      </c>
    </row>
    <row r="3" spans="1:26" ht="12.75">
      <c r="A3" s="56">
        <f>'abridged Molodensky'!Q3</f>
        <v>32.21255225451588</v>
      </c>
      <c r="B3" s="56">
        <f>'abridged Molodensky'!R3</f>
        <v>34.785138610089824</v>
      </c>
      <c r="C3">
        <v>6378300.79</v>
      </c>
      <c r="D3" s="52">
        <v>0.08248322684211332</v>
      </c>
      <c r="E3">
        <v>170251.554999999</v>
      </c>
      <c r="F3">
        <v>1126868.909</v>
      </c>
      <c r="G3" s="52">
        <v>35.2120805556655</v>
      </c>
      <c r="H3">
        <f>G3*PI()/180</f>
        <v>0.6145667421738374</v>
      </c>
      <c r="I3" s="52">
        <v>31.7340969444444</v>
      </c>
      <c r="J3">
        <f>I3*PI()/180</f>
        <v>0.5538644768276269</v>
      </c>
      <c r="K3" s="53">
        <v>1</v>
      </c>
      <c r="L3">
        <f>A3*PI()/180</f>
        <v>0.5622150973120245</v>
      </c>
      <c r="M3">
        <f>B3*PI()/180</f>
        <v>0.6071151995086714</v>
      </c>
      <c r="N3">
        <f>D3*D3/(1-D3*D3)</f>
        <v>0.006850087159843481</v>
      </c>
      <c r="O3">
        <f>C3/SQRT(1-D3*D3*SIN(L3)*SIN(L3))</f>
        <v>6384475.142399754</v>
      </c>
      <c r="P3">
        <f>TAN(L3)*TAN(L3)</f>
        <v>0.3969499071305525</v>
      </c>
      <c r="Q3">
        <f>N3*COS(L3)*COS(L3)</f>
        <v>0.004903602573634233</v>
      </c>
      <c r="R3">
        <f>(M3-H3)*COS(L3)</f>
        <v>-0.00630457442435268</v>
      </c>
      <c r="S3">
        <f>C3*(L3*(1-D3*D3/4-3*POWER(D3,4)/64-5*POWER(D3,6)/256)-SIN(2*L3)*(3*D3*D3/8+3*POWER(D3,4)/32+45*POWER(D3,6)/1024)+SIN(4*L3)*(15*POWER(D3,4)/256+45*POWER(D3,6)/1024)-SIN(6*L3)*35*POWER(D3,6)/3072)</f>
        <v>3565179.8161878246</v>
      </c>
      <c r="T3">
        <f>C3*(J3*(1-D3*D3/4-3*POWER(D3,4)/64-5*POWER(D3,6)/256)-SIN(2*J3)*(3*D3*D3/8+3*POWER(D3,4)/32+45*POWER(D3,6)/1024)+SIN(4*J3)*(15*POWER(D3,4)/256+45*POWER(D3,6)/1024)-SIN(6*J3)*35*POWER(D3,6)/3072)</f>
        <v>3512127.68136966</v>
      </c>
      <c r="U3">
        <f>K3*O3*(R3+(1-P3+Q3)*POWER(R3,3)/6+(5-18*P3+P3*P3+72*Q3-85*N3)*POWER(R3,5)/120)</f>
        <v>-40251.56080525122</v>
      </c>
      <c r="V3">
        <f>K3*(S3-T3+O3*TAN(L3)*(R3*R3/2+(5-P3+9*Q3+4*Q3*Q3)*POWER(R3,4)/24+(61-58*P3+P3*P3+600*Q3-330*N3)*POWER(R3,6)/720))</f>
        <v>53132.077975018496</v>
      </c>
      <c r="W3" s="58">
        <f>U3+E3</f>
        <v>129999.9941947478</v>
      </c>
      <c r="X3" s="58">
        <f>V3+F3</f>
        <v>1180000.9869750184</v>
      </c>
      <c r="Y3" s="23">
        <f>TRUNC(B3/6)+31</f>
        <v>36</v>
      </c>
      <c r="Z3" t="s">
        <v>83</v>
      </c>
    </row>
    <row r="4" spans="1:24" ht="12.75">
      <c r="A4" t="s">
        <v>91</v>
      </c>
      <c r="W4" s="54"/>
      <c r="X4" s="54"/>
    </row>
    <row r="5" spans="1:25" ht="12.75">
      <c r="A5" s="56">
        <f>'abridged Molodensky'!Q9</f>
        <v>32.212447701493296</v>
      </c>
      <c r="B5" s="56">
        <f>'abridged Molodensky'!R9</f>
        <v>34.78505061961733</v>
      </c>
      <c r="C5">
        <v>6378137</v>
      </c>
      <c r="D5" s="52">
        <v>0.08181919104282803</v>
      </c>
      <c r="E5">
        <v>219529.584</v>
      </c>
      <c r="F5">
        <v>626907.39</v>
      </c>
      <c r="G5">
        <v>35.2045169444444</v>
      </c>
      <c r="H5">
        <f>G5*PI()/180</f>
        <v>0.6144347322546884</v>
      </c>
      <c r="I5" s="52">
        <v>31.7343936111111</v>
      </c>
      <c r="J5">
        <f>I5*PI()/180</f>
        <v>0.5538696546377416</v>
      </c>
      <c r="K5">
        <v>1.00000667</v>
      </c>
      <c r="L5">
        <f>A5*PI()/180</f>
        <v>0.5622132725175375</v>
      </c>
      <c r="M5">
        <f>B5*PI()/180</f>
        <v>0.607113663785216</v>
      </c>
      <c r="N5">
        <f>D5*D5/(1-D5*D5)</f>
        <v>0.006739496775480989</v>
      </c>
      <c r="O5">
        <f>C5/SQRT(1-D5*D5*SIN(L5)*SIN(L5))</f>
        <v>6384212.005879201</v>
      </c>
      <c r="P5">
        <f>TAN(L5)*TAN(L5)</f>
        <v>0.39694669501423613</v>
      </c>
      <c r="Q5">
        <f>N5*COS(L5)*COS(L5)</f>
        <v>0.0048244480620016125</v>
      </c>
      <c r="R5">
        <f>(M5-H5)*COS(L5)</f>
        <v>-0.006194190407408755</v>
      </c>
      <c r="S5">
        <f>C5*(L5*(1-D5*D5/4-3*POWER(D5,4)/64-5*POWER(D5,6)/256)-SIN(2*L5)*(3*D5*D5/8+3*POWER(D5,4)/32+45*POWER(D5,6)/1024)+SIN(4*L5)*(15*POWER(D5,4)/256+45*POWER(D5,6)/1024)-SIN(6*L5)*35*POWER(D5,6)/3072)</f>
        <v>3565410.4773869035</v>
      </c>
      <c r="T5">
        <f>C5*(J5*(1-D5*D5/4-3*POWER(D5,4)/64-5*POWER(D5,6)/256)-SIN(2*J5)*(3*D5*D5/8+3*POWER(D5,4)/32+45*POWER(D5,6)/1024)+SIN(4*J5)*(15*POWER(D5,4)/256+45*POWER(D5,6)/1024)-SIN(6*J5)*35*POWER(D5,6)/3072)</f>
        <v>3512400.8055036836</v>
      </c>
      <c r="U5">
        <f>K5*O5*(R5+(1-P5+Q5)*POWER(R5,3)/6+(5-18*P5+P5*P5+72*Q5-85*N5)*POWER(R5,5)/120)</f>
        <v>-39545.442249382424</v>
      </c>
      <c r="V5">
        <f>K5*(S5-T5+O5*TAN(L5)*(R5*R5/2+(5-P5+9*Q5+4*Q5*Q5)*POWER(R5,4)/24+(61-58*P5+P5*P5+600*Q5-330*N5)*POWER(R5,6)/720))</f>
        <v>53087.19072266023</v>
      </c>
      <c r="W5" s="58">
        <f>U5+E5</f>
        <v>179984.1417506176</v>
      </c>
      <c r="X5" s="58">
        <f>V5+F5</f>
        <v>679994.5807226603</v>
      </c>
      <c r="Y5" s="23">
        <f>TRUNC(B5/6)+31</f>
        <v>36</v>
      </c>
    </row>
    <row r="6" spans="1:25" ht="12.75">
      <c r="A6" s="56"/>
      <c r="B6" s="56"/>
      <c r="D6" s="52"/>
      <c r="I6" s="52"/>
      <c r="Y6" s="23"/>
    </row>
    <row r="7" spans="5:6" ht="12.75">
      <c r="E7">
        <f>E5-E6</f>
        <v>219529.584</v>
      </c>
      <c r="F7">
        <f>F5-F6</f>
        <v>626907.39</v>
      </c>
    </row>
    <row r="9" spans="23:24" ht="12.75">
      <c r="W9" s="54"/>
      <c r="X9" s="54"/>
    </row>
    <row r="13" spans="1:3" ht="15">
      <c r="A13" s="59">
        <v>6378137</v>
      </c>
      <c r="C13" s="59">
        <v>48</v>
      </c>
    </row>
    <row r="14" spans="1:3" ht="15">
      <c r="A14" s="59">
        <v>6356752.31414035</v>
      </c>
      <c r="C14" s="59">
        <v>-55</v>
      </c>
    </row>
    <row r="15" spans="1:3" ht="15">
      <c r="A15" s="60">
        <v>1.00000667</v>
      </c>
      <c r="C15" s="59">
        <v>-52</v>
      </c>
    </row>
    <row r="16" spans="1:3" ht="15">
      <c r="A16" s="60">
        <v>219529.584</v>
      </c>
      <c r="C16" s="63">
        <v>-1</v>
      </c>
    </row>
    <row r="17" spans="1:3" ht="15">
      <c r="A17" s="60">
        <v>626907.39</v>
      </c>
      <c r="C17" s="63">
        <v>0</v>
      </c>
    </row>
    <row r="18" spans="1:3" ht="15">
      <c r="A18" s="61">
        <v>31.7343936111111</v>
      </c>
      <c r="C18" s="63">
        <v>0</v>
      </c>
    </row>
    <row r="19" spans="1:3" ht="15.75" thickBot="1">
      <c r="A19" s="62">
        <v>35.2045169444444</v>
      </c>
      <c r="C19" s="64">
        <v>0</v>
      </c>
    </row>
    <row r="21" spans="1:3" ht="15">
      <c r="A21" s="59">
        <v>6378300.79</v>
      </c>
      <c r="C21" s="59">
        <v>-235</v>
      </c>
    </row>
    <row r="22" spans="1:3" ht="15">
      <c r="A22" s="59">
        <v>6356566.43000003</v>
      </c>
      <c r="C22" s="59">
        <v>-85</v>
      </c>
    </row>
    <row r="23" spans="1:3" ht="15">
      <c r="A23" s="60">
        <v>1</v>
      </c>
      <c r="C23" s="59">
        <v>264</v>
      </c>
    </row>
    <row r="24" spans="1:3" ht="15">
      <c r="A24" s="60">
        <v>170251.554999999</v>
      </c>
      <c r="C24" s="63">
        <v>20.4894</v>
      </c>
    </row>
    <row r="25" spans="1:3" ht="15">
      <c r="A25" s="60">
        <v>1126867.909</v>
      </c>
      <c r="C25" s="63">
        <v>0</v>
      </c>
    </row>
    <row r="26" spans="1:3" ht="15">
      <c r="A26" s="61">
        <v>31.7340969444444</v>
      </c>
      <c r="C26" s="63">
        <v>0</v>
      </c>
    </row>
    <row r="27" spans="1:3" ht="15.75" thickBot="1">
      <c r="A27" s="62">
        <v>35.2120805556655</v>
      </c>
      <c r="C27" s="6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Z17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17.8515625" style="0" bestFit="1" customWidth="1"/>
    <col min="4" max="4" width="10.140625" style="0" customWidth="1"/>
    <col min="6" max="6" width="9.57421875" style="0" bestFit="1" customWidth="1"/>
    <col min="7" max="7" width="12.421875" style="0" bestFit="1" customWidth="1"/>
    <col min="8" max="8" width="11.57421875" style="0" bestFit="1" customWidth="1"/>
    <col min="9" max="9" width="10.57421875" style="0" bestFit="1" customWidth="1"/>
    <col min="10" max="11" width="9.57421875" style="0" bestFit="1" customWidth="1"/>
    <col min="24" max="24" width="12.00390625" style="0" bestFit="1" customWidth="1"/>
  </cols>
  <sheetData>
    <row r="1" spans="1:25" ht="12.75">
      <c r="A1" s="22" t="s">
        <v>35</v>
      </c>
      <c r="B1" s="22" t="s">
        <v>58</v>
      </c>
      <c r="C1" s="22" t="s">
        <v>36</v>
      </c>
      <c r="D1" s="22" t="s">
        <v>40</v>
      </c>
      <c r="E1" s="22" t="s">
        <v>41</v>
      </c>
      <c r="F1" s="22" t="s">
        <v>42</v>
      </c>
      <c r="G1" s="22" t="s">
        <v>43</v>
      </c>
      <c r="H1" s="22" t="s">
        <v>44</v>
      </c>
      <c r="I1" s="22" t="s">
        <v>34</v>
      </c>
      <c r="J1" s="22" t="s">
        <v>45</v>
      </c>
      <c r="K1" s="22" t="s">
        <v>46</v>
      </c>
      <c r="L1" s="22" t="s">
        <v>56</v>
      </c>
      <c r="M1" s="22" t="s">
        <v>57</v>
      </c>
      <c r="N1" s="22" t="s">
        <v>50</v>
      </c>
      <c r="O1" s="22" t="s">
        <v>12</v>
      </c>
      <c r="P1" s="22" t="s">
        <v>59</v>
      </c>
      <c r="Q1" s="22" t="s">
        <v>60</v>
      </c>
      <c r="R1" s="22" t="s">
        <v>61</v>
      </c>
      <c r="S1" s="22" t="s">
        <v>11</v>
      </c>
      <c r="T1" s="22" t="s">
        <v>47</v>
      </c>
      <c r="U1" s="22" t="s">
        <v>32</v>
      </c>
      <c r="V1" s="22" t="s">
        <v>33</v>
      </c>
      <c r="W1" s="22" t="s">
        <v>38</v>
      </c>
      <c r="X1" s="22" t="s">
        <v>39</v>
      </c>
      <c r="Y1" s="22" t="s">
        <v>62</v>
      </c>
    </row>
    <row r="2" spans="1:26" ht="12.75">
      <c r="A2" s="56">
        <f>'abridged Molodensky'!Q3</f>
        <v>32.21255225451588</v>
      </c>
      <c r="B2" s="56">
        <f>'abridged Molodensky'!R3</f>
        <v>34.785138610089824</v>
      </c>
      <c r="C2">
        <v>6378300.79</v>
      </c>
      <c r="D2" s="52">
        <v>0.08248322684211332</v>
      </c>
      <c r="E2">
        <v>170251.554999999</v>
      </c>
      <c r="F2">
        <v>1126868.909</v>
      </c>
      <c r="G2" s="52">
        <v>35.2120805556655</v>
      </c>
      <c r="H2">
        <f>G2*PI()/180</f>
        <v>0.6145667421738374</v>
      </c>
      <c r="I2" s="52">
        <v>31.7340969444444</v>
      </c>
      <c r="J2">
        <f>I2*PI()/180</f>
        <v>0.5538644768276269</v>
      </c>
      <c r="K2" s="53">
        <v>1</v>
      </c>
      <c r="L2">
        <f aca="true" t="shared" si="0" ref="L2:M5">A2*PI()/180</f>
        <v>0.5622150973120245</v>
      </c>
      <c r="M2">
        <f t="shared" si="0"/>
        <v>0.6071151995086714</v>
      </c>
      <c r="N2">
        <f>D2*D2/(1-D2*D2)</f>
        <v>0.006850087159843481</v>
      </c>
      <c r="O2">
        <f>C2/SQRT(1-D2*D2*SIN(L2)*SIN(L2))</f>
        <v>6384475.142399754</v>
      </c>
      <c r="P2">
        <f>TAN(L2)*TAN(L2)</f>
        <v>0.3969499071305525</v>
      </c>
      <c r="Q2">
        <f>N2*COS(L2)*COS(L2)</f>
        <v>0.004903602573634233</v>
      </c>
      <c r="R2">
        <f>(M2-H2)*COS(L2)</f>
        <v>-0.00630457442435268</v>
      </c>
      <c r="S2">
        <f>C2*(L2*(1-D2*D2/4-3*POWER(D2,4)/64-5*POWER(D2,6)/256)-SIN(2*L2)*(3*D2*D2/8+3*POWER(D2,4)/32+45*POWER(D2,6)/1024)+SIN(4*L2)*(15*POWER(D2,4)/256+45*POWER(D2,6)/1024)-SIN(6*L2)*35*POWER(D2,6)/3072)</f>
        <v>3565179.8161878246</v>
      </c>
      <c r="T2">
        <v>3512127.755379967</v>
      </c>
      <c r="U2">
        <f>K2*O2*(R2+(1-P2+Q2)*POWER(R2,3)/6+(5-18*P2+P2*P2+72*Q2-85*N2)*POWER(R2,5)/120)</f>
        <v>-40251.56080525122</v>
      </c>
      <c r="V2">
        <f>K2*(S2-T2+O2*TAN(L2)*(R2*R2/2+(5-P2+9*Q2+4*Q2*Q2)*POWER(R2,4)/24+(61-58*P2+P2*P2+600*Q2-330*N2)*POWER(R2,6)/720))</f>
        <v>53132.003964711526</v>
      </c>
      <c r="W2" s="69">
        <f aca="true" t="shared" si="1" ref="W2:X5">U2+E2</f>
        <v>129999.9941947478</v>
      </c>
      <c r="X2" s="70">
        <f t="shared" si="1"/>
        <v>1180000.9129647114</v>
      </c>
      <c r="Y2" s="69">
        <f>TRUNC(B2/6)+31</f>
        <v>36</v>
      </c>
      <c r="Z2" t="s">
        <v>83</v>
      </c>
    </row>
    <row r="3" spans="1:26" ht="12.75">
      <c r="A3" s="56">
        <f>'abridged Molodensky'!Q9</f>
        <v>32.212447701493296</v>
      </c>
      <c r="B3" s="56">
        <f>'abridged Molodensky'!R9</f>
        <v>34.78505061961733</v>
      </c>
      <c r="C3">
        <v>6378137</v>
      </c>
      <c r="D3" s="52">
        <v>0.08181919084263989</v>
      </c>
      <c r="E3">
        <v>219529.584</v>
      </c>
      <c r="F3">
        <v>626907.39</v>
      </c>
      <c r="G3">
        <v>35.2045169444444</v>
      </c>
      <c r="H3">
        <f>G3*PI()/180</f>
        <v>0.6144347322546884</v>
      </c>
      <c r="I3" s="52">
        <v>31.7343936111111</v>
      </c>
      <c r="J3">
        <f>I3*PI()/180</f>
        <v>0.5538696546377416</v>
      </c>
      <c r="K3">
        <v>1.00000667</v>
      </c>
      <c r="L3">
        <f t="shared" si="0"/>
        <v>0.5622132725175375</v>
      </c>
      <c r="M3">
        <f t="shared" si="0"/>
        <v>0.607113663785216</v>
      </c>
      <c r="N3">
        <f>D3*D3/(1-D3*D3)</f>
        <v>0.0067394967422794855</v>
      </c>
      <c r="O3">
        <f>C3/SQRT(1-D3*D3*SIN(L3)*SIN(L3))</f>
        <v>6384212.00584943</v>
      </c>
      <c r="P3">
        <f>TAN(L3)*TAN(L3)</f>
        <v>0.39694669501423613</v>
      </c>
      <c r="Q3">
        <f>N3*COS(L3)*COS(L3)</f>
        <v>0.0048244480382344185</v>
      </c>
      <c r="R3">
        <f>(M3-H3)*COS(L3)</f>
        <v>-0.006194190407408755</v>
      </c>
      <c r="S3">
        <f>C3*(L3*(1-D3*D3/4-3*POWER(D3,4)/64-5*POWER(D3,6)/256)-SIN(2*L3)*(3*D3*D3/8+3*POWER(D3,4)/32+45*POWER(D3,6)/1024)+SIN(4*L3)*(15*POWER(D3,4)/256+45*POWER(D3,6)/1024)-SIN(6*L3)*35*POWER(D3,6)/3072)</f>
        <v>3565410.477487128</v>
      </c>
      <c r="T3">
        <v>3512400.876060623</v>
      </c>
      <c r="U3">
        <f>K3*O3*(R3+(1-P3+Q3)*POWER(R3,3)/6+(5-18*P3+P3*P3+72*Q3-85*N3)*POWER(R3,5)/120)</f>
        <v>-39545.44224919801</v>
      </c>
      <c r="V3">
        <f>K3*(S3-T3+O3*TAN(L3)*(R3*R3/2+(5-P3+9*Q3+4*Q3*Q3)*POWER(R3,4)/24+(61-58*P3+P3*P3+600*Q3-330*N3)*POWER(R3,6)/720))</f>
        <v>53087.12026547508</v>
      </c>
      <c r="W3" s="69">
        <f t="shared" si="1"/>
        <v>179984.141750802</v>
      </c>
      <c r="X3" s="70">
        <f t="shared" si="1"/>
        <v>679994.5102654751</v>
      </c>
      <c r="Y3" s="69">
        <f>TRUNC(B3/6)+31</f>
        <v>36</v>
      </c>
      <c r="Z3" t="s">
        <v>77</v>
      </c>
    </row>
    <row r="4" spans="1:25" ht="12.75">
      <c r="A4" s="66">
        <f>Main!D4</f>
        <v>32.212883118588394</v>
      </c>
      <c r="B4" s="66">
        <f>Main!E4</f>
        <v>34.785820241617394</v>
      </c>
      <c r="C4">
        <f>6378137</f>
        <v>6378137</v>
      </c>
      <c r="D4">
        <v>0.08181919084693119</v>
      </c>
      <c r="E4">
        <f>500000</f>
        <v>500000</v>
      </c>
      <c r="F4">
        <v>0</v>
      </c>
      <c r="G4">
        <f>21+6*(TRUNC(B4/6)-3)</f>
        <v>33</v>
      </c>
      <c r="H4">
        <f>G4*PI()/180</f>
        <v>0.5759586531581288</v>
      </c>
      <c r="I4">
        <v>0</v>
      </c>
      <c r="J4">
        <f>I4*PI()/180</f>
        <v>0</v>
      </c>
      <c r="K4">
        <v>0.9996</v>
      </c>
      <c r="L4">
        <f t="shared" si="0"/>
        <v>0.5622208719794665</v>
      </c>
      <c r="M4">
        <f t="shared" si="0"/>
        <v>0.6071270962231129</v>
      </c>
      <c r="N4">
        <f>D4*D4/(1-D4*D4)</f>
        <v>0.006739496742991205</v>
      </c>
      <c r="O4">
        <f>C4/SQRT(1-D4*D4*SIN(L4)*SIN(L4))</f>
        <v>6384212.152612627</v>
      </c>
      <c r="P4">
        <f>TAN(L4)*TAN(L4)</f>
        <v>0.3969600721922788</v>
      </c>
      <c r="Q4">
        <f>N4*COS(L4)*COS(L4)</f>
        <v>0.004824401840214926</v>
      </c>
      <c r="R4">
        <f>(M4-H4)*COS(L4)</f>
        <v>0.026370788290068135</v>
      </c>
      <c r="S4">
        <f>C4*(L4*(1-D4*D4/4-3*POWER(D4,4)/64-5*POWER(D4,6)/256)-SIN(2*L4)*(3*D4*D4/8+3*POWER(D4,4)/32+45*POWER(D4,6)/1024)+SIN(4*L4)*(15*POWER(D4,4)/256+45*POWER(D4,6)/1024)-SIN(6*L4)*35*POWER(D4,6)/3072)</f>
        <v>3565458.761120848</v>
      </c>
      <c r="T4">
        <f>C4*J4*((1-D4*D4/4-3*POWER(D4,4)/64-5*POWER(D4,6)/256)-SIN(2*J4)*(3*D4*D4/8+3*POWER(D4,4)/32+45*POWER(D4,6)/1024)+SIN(4*J4)*(15*POWER(D4,4)/256+45*POWER(D4,6)/1024)-SIN(6*J4)*35*POWER(D4,6)/3072)</f>
        <v>0</v>
      </c>
      <c r="U4">
        <f>K4*O4*(R4+(1-P4+Q4)*POWER(R4,3)/6+(5-18*P4+P4*P4+72*Q4-85*N4)*POWER(R4,5)/120)</f>
        <v>168301.21944064202</v>
      </c>
      <c r="V4">
        <f>K4*(S4-T4+O4*TAN(L4)*(R4*R4/2+(5-P4+9*Q4+4*Q4*Q4)*POWER(R4,4)/24+(61-58*P4+P4*P4+600*Q4-330*N4)*POWER(R4,6)/720))</f>
        <v>3565431.0057453825</v>
      </c>
      <c r="W4" s="23">
        <f t="shared" si="1"/>
        <v>668301.219440642</v>
      </c>
      <c r="X4" s="23">
        <f t="shared" si="1"/>
        <v>3565431.0057453825</v>
      </c>
      <c r="Y4" s="23">
        <f>TRUNC(B4/6)+31</f>
        <v>36</v>
      </c>
    </row>
    <row r="5" spans="1:26" ht="12.75">
      <c r="A5" s="66">
        <v>32.212107931469326</v>
      </c>
      <c r="B5" s="66">
        <v>34.78436909512568</v>
      </c>
      <c r="C5">
        <f>6378137</f>
        <v>6378137</v>
      </c>
      <c r="D5">
        <v>0.08181919084693119</v>
      </c>
      <c r="E5">
        <v>219529.584</v>
      </c>
      <c r="F5">
        <v>626907.39</v>
      </c>
      <c r="G5">
        <v>35.2045169444444</v>
      </c>
      <c r="H5">
        <f>G5*PI()/180</f>
        <v>0.6144347322546884</v>
      </c>
      <c r="I5" s="52">
        <v>31.7343936111111</v>
      </c>
      <c r="J5">
        <f>I5*PI()/180</f>
        <v>0.5538696546377416</v>
      </c>
      <c r="K5">
        <v>1.00000667</v>
      </c>
      <c r="L5">
        <f t="shared" si="0"/>
        <v>0.5622073424119196</v>
      </c>
      <c r="M5">
        <f t="shared" si="0"/>
        <v>0.6071017689389038</v>
      </c>
      <c r="N5">
        <f>D5*D5/(1-D5*D5)</f>
        <v>0.006739496742991205</v>
      </c>
      <c r="O5">
        <f>C5/SQRT(1-D5*D5*SIN(L5)*SIN(L5))</f>
        <v>6384211.891327253</v>
      </c>
      <c r="P5">
        <f>TAN(L5)*TAN(L5)</f>
        <v>0.39693625661565407</v>
      </c>
      <c r="Q5">
        <f>N5*COS(L5)*COS(L5)</f>
        <v>0.004824484088714919</v>
      </c>
      <c r="R5">
        <f>(M5-H5)*COS(L5)</f>
        <v>-0.006204277547917395</v>
      </c>
      <c r="S5">
        <f>C5*(L5*(1-D5*D5/4-3*POWER(D5,4)/64-5*POWER(D5,6)/256)-SIN(2*L5)*(3*D5*D5/8+3*POWER(D5,4)/32+45*POWER(D5,6)/1024)+SIN(4*L5)*(15*POWER(D5,4)/256+45*POWER(D5,6)/1024)-SIN(6*L5)*35*POWER(D5,6)/3072)</f>
        <v>3565372.8002065853</v>
      </c>
      <c r="T5">
        <f>C5*J5*((1-D5*D5/4-3*POWER(D5,4)/64-5*POWER(D5,6)/256)-SIN(2*J5)*(3*D5*D5/8+3*POWER(D5,4)/32+45*POWER(D5,6)/1024)+SIN(4*J5)*(15*POWER(D5,4)/256+45*POWER(D5,6)/1024)-SIN(6*J5)*35*POWER(D5,6)/3072)</f>
        <v>3518796.554231599</v>
      </c>
      <c r="U5">
        <f>K5*O5*(R5+(1-P5+Q5)*POWER(R5,3)/6+(5-18*P5+P5*P5+72*Q5-85*N5)*POWER(R5,5)/120)</f>
        <v>-39609.841166606464</v>
      </c>
      <c r="V5">
        <f>K5*(S5-T5+O5*TAN(L5)*(R5*R5/2+(5-P5+9*Q5+4*Q5*Q5)*POWER(R5,4)/24+(61-58*P5+P5*P5+600*Q5-330*N5)*POWER(R5,6)/720))</f>
        <v>46653.97241737893</v>
      </c>
      <c r="W5" s="23">
        <f t="shared" si="1"/>
        <v>179919.74283339354</v>
      </c>
      <c r="X5" s="23">
        <f t="shared" si="1"/>
        <v>673561.3624173789</v>
      </c>
      <c r="Y5" s="23">
        <f>TRUNC(B5/6)+31</f>
        <v>36</v>
      </c>
      <c r="Z5" t="s">
        <v>85</v>
      </c>
    </row>
    <row r="6" spans="3:20" ht="12.75">
      <c r="C6" t="s">
        <v>79</v>
      </c>
      <c r="D6">
        <v>6356752.31424517</v>
      </c>
      <c r="T6">
        <v>3512400.876060623</v>
      </c>
    </row>
    <row r="7" spans="3:4" ht="12.75">
      <c r="C7" t="s">
        <v>78</v>
      </c>
      <c r="D7">
        <f>SQRT(1-(D6/C3)^2)</f>
        <v>0.08181919084263989</v>
      </c>
    </row>
    <row r="17" spans="1:26" ht="12.75">
      <c r="A17" s="56">
        <f>'abridged Molodensky'!Q9</f>
        <v>32.212447701493296</v>
      </c>
      <c r="B17" s="56">
        <f>'abridged Molodensky'!R9</f>
        <v>34.78505061961733</v>
      </c>
      <c r="C17">
        <f>6378137</f>
        <v>6378137</v>
      </c>
      <c r="D17">
        <v>0.08181919084693119</v>
      </c>
      <c r="E17">
        <f>500000</f>
        <v>500000</v>
      </c>
      <c r="F17">
        <v>0</v>
      </c>
      <c r="G17">
        <f>21+6*(TRUNC(B17/6)-3)</f>
        <v>33</v>
      </c>
      <c r="H17">
        <f>G17*PI()/180</f>
        <v>0.5759586531581288</v>
      </c>
      <c r="I17">
        <v>0</v>
      </c>
      <c r="J17">
        <f>I17*PI()/180</f>
        <v>0</v>
      </c>
      <c r="K17">
        <v>0.9996</v>
      </c>
      <c r="L17">
        <f>A17*PI()/180</f>
        <v>0.5622132725175375</v>
      </c>
      <c r="M17">
        <f>B17*PI()/180</f>
        <v>0.607113663785216</v>
      </c>
      <c r="N17">
        <f>D17*D17/(1-D17*D17)</f>
        <v>0.006739496742991205</v>
      </c>
      <c r="O17">
        <f>C17/SQRT(1-D17*D17*SIN(L17)*SIN(L17))</f>
        <v>6384212.005850068</v>
      </c>
      <c r="P17">
        <f>TAN(L17)*TAN(L17)</f>
        <v>0.39694669501423613</v>
      </c>
      <c r="Q17">
        <f>N17*COS(L17)*COS(L17)</f>
        <v>0.004824448038743901</v>
      </c>
      <c r="R17">
        <f>(M17-H17)*COS(L17)</f>
        <v>0.026359549671433502</v>
      </c>
      <c r="S17">
        <f>C17*(L17*(1-D17*D17/4-3*POWER(D17,4)/64-5*POWER(D17,6)/256)-SIN(2*L17)*(3*D17*D17/8+3*POWER(D17,4)/32+45*POWER(D17,6)/1024)+SIN(4*L17)*(15*POWER(D17,4)/256+45*POWER(D17,6)/1024)-SIN(6*L17)*35*POWER(D17,6)/3072)</f>
        <v>3565410.4774849797</v>
      </c>
      <c r="T17">
        <f>C17*J17*((1-D17*D17/4-3*POWER(D17,4)/64-5*POWER(D17,6)/256)-SIN(2*J17)*(3*D17*D17/8+3*POWER(D17,4)/32+45*POWER(D17,6)/1024)+SIN(4*J17)*(15*POWER(D17,4)/256+45*POWER(D17,6)/1024)-SIN(6*J17)*35*POWER(D17,6)/3072)</f>
        <v>0</v>
      </c>
      <c r="U17">
        <f>K17*O17*(R17+(1-P17+Q17)*POWER(R17,3)/6+(5-18*P17+P17*P17+72*Q17-85*N17)*POWER(R17,5)/120)</f>
        <v>168229.4796598928</v>
      </c>
      <c r="V17">
        <f>K17*(S17-T17+O17*TAN(L17)*(R17*R17/2+(5-P17+9*Q17+4*Q17*Q17)*POWER(R17,4)/24+(61-58*P17+P17*P17+600*Q17-330*N17)*POWER(R17,6)/720))</f>
        <v>3565381.525827035</v>
      </c>
      <c r="W17" s="69">
        <f>U17+E17</f>
        <v>668229.4796598929</v>
      </c>
      <c r="X17" s="69">
        <f>V17+F17</f>
        <v>3565381.525827035</v>
      </c>
      <c r="Y17" s="69">
        <f>TRUNC(B17/6)+31</f>
        <v>36</v>
      </c>
      <c r="Z17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C7"/>
  <sheetViews>
    <sheetView zoomScalePageLayoutView="0" workbookViewId="0" topLeftCell="S1">
      <selection activeCell="E4" sqref="E4"/>
    </sheetView>
  </sheetViews>
  <sheetFormatPr defaultColWidth="9.140625" defaultRowHeight="12.75"/>
  <cols>
    <col min="3" max="3" width="2.8515625" style="0" customWidth="1"/>
    <col min="4" max="4" width="7.8515625" style="0" customWidth="1"/>
    <col min="5" max="5" width="12.00390625" style="105" bestFit="1" customWidth="1"/>
    <col min="6" max="6" width="7.57421875" style="0" customWidth="1"/>
    <col min="7" max="7" width="7.8515625" style="0" customWidth="1"/>
    <col min="8" max="8" width="11.140625" style="0" customWidth="1"/>
    <col min="10" max="10" width="10.57421875" style="0" bestFit="1" customWidth="1"/>
    <col min="12" max="12" width="9.57421875" style="0" bestFit="1" customWidth="1"/>
    <col min="28" max="28" width="10.00390625" style="0" customWidth="1"/>
    <col min="29" max="29" width="10.140625" style="0" customWidth="1"/>
  </cols>
  <sheetData>
    <row r="1" spans="1:29" ht="12.75">
      <c r="A1" s="57" t="s">
        <v>38</v>
      </c>
      <c r="B1" s="57" t="s">
        <v>39</v>
      </c>
      <c r="C1" s="57" t="s">
        <v>62</v>
      </c>
      <c r="D1" s="57" t="s">
        <v>36</v>
      </c>
      <c r="E1" s="104" t="s">
        <v>40</v>
      </c>
      <c r="F1" s="57" t="s">
        <v>41</v>
      </c>
      <c r="G1" s="57" t="s">
        <v>42</v>
      </c>
      <c r="H1" s="57" t="s">
        <v>43</v>
      </c>
      <c r="I1" s="57" t="s">
        <v>44</v>
      </c>
      <c r="J1" s="57" t="s">
        <v>34</v>
      </c>
      <c r="K1" s="57" t="s">
        <v>45</v>
      </c>
      <c r="L1" s="57" t="s">
        <v>46</v>
      </c>
      <c r="M1" s="57" t="s">
        <v>32</v>
      </c>
      <c r="N1" s="57" t="s">
        <v>33</v>
      </c>
      <c r="O1" s="57" t="s">
        <v>13</v>
      </c>
      <c r="P1" s="57" t="s">
        <v>47</v>
      </c>
      <c r="Q1" s="57" t="s">
        <v>11</v>
      </c>
      <c r="R1" s="57" t="s">
        <v>48</v>
      </c>
      <c r="S1" s="57" t="s">
        <v>49</v>
      </c>
      <c r="T1" s="57" t="s">
        <v>50</v>
      </c>
      <c r="U1" s="57" t="s">
        <v>51</v>
      </c>
      <c r="V1" s="57" t="s">
        <v>52</v>
      </c>
      <c r="W1" s="57" t="s">
        <v>53</v>
      </c>
      <c r="X1" s="57" t="s">
        <v>54</v>
      </c>
      <c r="Y1" s="57" t="s">
        <v>55</v>
      </c>
      <c r="Z1" s="57" t="s">
        <v>56</v>
      </c>
      <c r="AA1" s="57" t="s">
        <v>57</v>
      </c>
      <c r="AB1" s="57" t="s">
        <v>35</v>
      </c>
      <c r="AC1" s="57" t="s">
        <v>58</v>
      </c>
    </row>
    <row r="2" spans="1:29" ht="12.75">
      <c r="A2" s="67">
        <f>Main!D19</f>
        <v>668316.961466965</v>
      </c>
      <c r="B2" s="67">
        <f>Main!E19</f>
        <v>3565436.74935868</v>
      </c>
      <c r="C2" s="67">
        <f>Main!F19</f>
        <v>36</v>
      </c>
      <c r="D2">
        <f>6378137</f>
        <v>6378137</v>
      </c>
      <c r="E2" s="105">
        <v>0.08181919084693119</v>
      </c>
      <c r="F2">
        <f>500000</f>
        <v>500000</v>
      </c>
      <c r="G2">
        <v>0</v>
      </c>
      <c r="H2">
        <f>21+6*(C2-34)</f>
        <v>33</v>
      </c>
      <c r="I2">
        <f>H2*PI()/180</f>
        <v>0.5759586531581288</v>
      </c>
      <c r="J2">
        <v>0</v>
      </c>
      <c r="K2">
        <f>J2*PI()/180</f>
        <v>0</v>
      </c>
      <c r="L2">
        <v>0.9996</v>
      </c>
      <c r="M2">
        <f aca="true" t="shared" si="0" ref="M2:N4">A2-F2</f>
        <v>168316.96146696503</v>
      </c>
      <c r="N2">
        <f t="shared" si="0"/>
        <v>3565436.74935868</v>
      </c>
      <c r="O2">
        <f>(1-SQRT(1-E2*E2))/(1+SQRT(1-E2*E2))</f>
        <v>0.0016792203865612046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3566863.4947565827</v>
      </c>
      <c r="R2">
        <f>Q2/(D2*(1-E2*E2/4-3*POWER(E2,4)/64-5*POWER(E2,6)/256))</f>
        <v>0.5601714930098578</v>
      </c>
      <c r="S2">
        <f>R2+SIN(2*R2)*(3*O2/2-27*POWER(O2,3)/32)+SIN(4*R2)*(21*O2*O2/16-55*POWER(O2,4)/32)+SIN(6*R2)*151*POWER(O2,3)/96+SIN(8*R2)*1097*POWER(O2,4)/512</f>
        <v>0.5624419656947164</v>
      </c>
      <c r="T2">
        <f>E2*E2/(1-E2*E2)</f>
        <v>0.006739496742991205</v>
      </c>
      <c r="U2">
        <f>T2*COS(S2)*COS(S2)</f>
        <v>0.004823057623733466</v>
      </c>
      <c r="V2">
        <f>TAN(S2)*TAN(S2)</f>
        <v>0.3973494137468439</v>
      </c>
      <c r="W2">
        <f>D2/SQRT(1-E2*E2*SIN(S2)*SIN(S2))</f>
        <v>6384216.422896964</v>
      </c>
      <c r="X2">
        <f>D2*(1-E2*E2)/POWER(1-E2*E2*SIN(S2)*SIN(S2),1.5)</f>
        <v>6353572.775285179</v>
      </c>
      <c r="Y2">
        <f>M2/(W2*L2)</f>
        <v>0.02637509508436034</v>
      </c>
      <c r="Z2">
        <f>S2-(W2*TAN(S2)/X2)*(Y2*Y2/2-(5+3*V2+10*U2-4*U2*U2-9*T2)*POWER(Y2,4)/24+(61+90*V2+298*U2+45*V2*V2-252*T2-3*U2*U2)*POWER(Y2,6)/720)</f>
        <v>0.5622217347164036</v>
      </c>
      <c r="AA2">
        <f>I2+(Y2-(1+2*V2+U2)*POWER(Y2,3)/6+(5-2*U2+28*V2-3*U2*U2+8*T2+24*V2*V2)*POWER(Y2,5)/120)/COS(S2)</f>
        <v>0.6071300279940032</v>
      </c>
      <c r="AB2" s="68">
        <f aca="true" t="shared" si="1" ref="AB2:AC4">Z2*180/PI()</f>
        <v>32.21293254977372</v>
      </c>
      <c r="AC2" s="68">
        <f t="shared" si="1"/>
        <v>34.785988219715904</v>
      </c>
    </row>
    <row r="3" spans="1:29" ht="12.75">
      <c r="A3" s="67">
        <f>Main!D15</f>
        <v>166057.262</v>
      </c>
      <c r="B3" s="67">
        <f>Main!E15</f>
        <v>592962.969</v>
      </c>
      <c r="D3">
        <v>6378137</v>
      </c>
      <c r="E3" s="105">
        <v>0.08181919084263989</v>
      </c>
      <c r="F3">
        <v>219529.584</v>
      </c>
      <c r="G3">
        <v>626907.39</v>
      </c>
      <c r="H3" s="52">
        <v>35.2045169444444</v>
      </c>
      <c r="I3">
        <f>H3*PI()/180</f>
        <v>0.6144347322546884</v>
      </c>
      <c r="J3" s="52">
        <v>31.7343936111111</v>
      </c>
      <c r="K3">
        <f>J3*PI()/180</f>
        <v>0.5538696546377416</v>
      </c>
      <c r="L3" s="52">
        <v>1.00000667</v>
      </c>
      <c r="M3">
        <f t="shared" si="0"/>
        <v>-53472.322000000015</v>
      </c>
      <c r="N3">
        <f t="shared" si="0"/>
        <v>-33944.42099999997</v>
      </c>
      <c r="O3">
        <f>(1-SQRT(1-E3*E3))/(1+SQRT(1-E3*E3))</f>
        <v>0.0016792203863844758</v>
      </c>
      <c r="P3">
        <f>D3*(K3*(1-E3*E3/4-3*POWER(E3,4)/64-5*POWER(E3,6)/256)-SIN(2*K3)*(3*E3*E3/8+3*POWER(E3,4)/32+45*POWER(E3,6)/1024)+SIN(4*K3)*(15*POWER(E3,4)/256+45*POWER(E3,6)/1024)-SIN(6*K3)*35*POWER(E3,6)/3072)</f>
        <v>3512400.805602892</v>
      </c>
      <c r="Q3">
        <f>P3+N3/L3</f>
        <v>3478456.6110106697</v>
      </c>
      <c r="R3">
        <f>Q3/(D3*(1-E3*E3/4-3*POWER(E3,4)/64-5*POWER(E3,6)/256))</f>
        <v>0.5462873014411473</v>
      </c>
      <c r="S3">
        <f>R3+SIN(2*R3)*(3*O3/2-27*POWER(O3,3)/32)+SIN(4*R3)*(21*O3*O3/16-55*POWER(O3,4)/32)+SIN(6*R3)*151*POWER(O3,3)/96+SIN(8*R3)*1097*POWER(O3,4)/512</f>
        <v>0.5485265758774975</v>
      </c>
      <c r="T3">
        <f>E3*E3/(1-E3*E3)</f>
        <v>0.0067394967422794855</v>
      </c>
      <c r="U3">
        <f>T3*COS(S3)*COS(S3)</f>
        <v>0.004907096324209086</v>
      </c>
      <c r="V3">
        <f>TAN(S3)*TAN(S3)</f>
        <v>0.37341847337095857</v>
      </c>
      <c r="W3">
        <f>D3/SQRT(1-E3*E3*SIN(S3)*SIN(S3))</f>
        <v>6383949.466640113</v>
      </c>
      <c r="X3">
        <f>D3*(1-E3*E3)/POWER(1-E3*E3*SIN(S3)*SIN(S3),1.5)</f>
        <v>6352775.783942206</v>
      </c>
      <c r="Y3">
        <f>M3/(W3*L3)</f>
        <v>-0.008376000722031655</v>
      </c>
      <c r="Z3">
        <f>S3-(W3*TAN(S3)/X3)*(Y3*Y3/2-(5+3*V3+10*U3-4*U3*U3-9*T3)*POWER(Y3,4)/24+(61+90*V3+298*U3+45*V3*V3-252*T3-3*U3*U3)*POWER(Y3,6)/720)</f>
        <v>0.5485050355788984</v>
      </c>
      <c r="AA3">
        <f>I3+(Y3-(1+2*V3+U3)*POWER(Y3,3)/6+(5-2*U3+28*V3-3*U3*U3+8*T3+24*V3*V3)*POWER(Y3,5)/120)/COS(S3)</f>
        <v>0.6046188519705497</v>
      </c>
      <c r="AB3" s="68">
        <f t="shared" si="1"/>
        <v>31.42702358034394</v>
      </c>
      <c r="AC3" s="68">
        <f t="shared" si="1"/>
        <v>34.642108431957574</v>
      </c>
    </row>
    <row r="4" spans="1:29" ht="12.75">
      <c r="A4" s="67">
        <f>Main!D11</f>
        <v>174528.228</v>
      </c>
      <c r="B4" s="67">
        <f>Main!E11</f>
        <v>621193.602</v>
      </c>
      <c r="D4">
        <v>6378300.79</v>
      </c>
      <c r="E4" s="106">
        <v>0.08248322684211251</v>
      </c>
      <c r="F4">
        <v>170251.554999999</v>
      </c>
      <c r="G4">
        <v>1126867.909</v>
      </c>
      <c r="H4">
        <v>35.2120805556655</v>
      </c>
      <c r="I4">
        <f>H4*PI()/180</f>
        <v>0.6145667421738374</v>
      </c>
      <c r="J4">
        <v>31.7340969444444</v>
      </c>
      <c r="K4">
        <f>J4*PI()/180</f>
        <v>0.5538644768276269</v>
      </c>
      <c r="L4">
        <v>1</v>
      </c>
      <c r="M4">
        <f t="shared" si="0"/>
        <v>4276.673000000999</v>
      </c>
      <c r="N4">
        <f t="shared" si="0"/>
        <v>-505674.30700000003</v>
      </c>
      <c r="O4">
        <f>(1-SQRT(1-E4*E4))/(1+SQRT(1-E4*E4))</f>
        <v>0.001706681320228944</v>
      </c>
      <c r="P4">
        <f>D4*(K4*(1-E4*E4/4-3*POWER(E4,4)/64-5*POWER(E4,6)/256)-SIN(2*K4)*(3*E4*E4/8+3*POWER(E4,4)/32+45*POWER(E4,6)/1024)+SIN(4*K4)*(15*POWER(E4,4)/256+45*POWER(E4,6)/1024)-SIN(6*K4)*35*POWER(E4,6)/3072)</f>
        <v>3512127.68136966</v>
      </c>
      <c r="Q4">
        <f>P4+N4/L4</f>
        <v>3006453.37436966</v>
      </c>
      <c r="R4">
        <f>Q4/(D4*(1-E4*E4/4-3*POWER(E4,4)/64-5*POWER(E4,6)/256))</f>
        <v>0.4721605860656161</v>
      </c>
      <c r="S4">
        <f>R4+SIN(2*R4)*(3*O4/2-27*POWER(O4,3)/32)+SIN(4*R4)*(21*O4*O4/16-55*POWER(O4,4)/32)+SIN(6*R4)*151*POWER(O4,3)/96+SIN(8*R4)*1097*POWER(O4,4)/512</f>
        <v>0.47423808810134177</v>
      </c>
      <c r="T4">
        <f>E4*E4/(1-E4*E4)</f>
        <v>0.006850087159843346</v>
      </c>
      <c r="U4">
        <f>T4*COS(S4)*COS(S4)</f>
        <v>0.0054215765443452095</v>
      </c>
      <c r="V4">
        <f>TAN(S4)*TAN(S4)</f>
        <v>0.2634862025489792</v>
      </c>
      <c r="W4">
        <f>D4/SQRT(1-E4*E4*SIN(S4)*SIN(S4))</f>
        <v>6382830.350775983</v>
      </c>
      <c r="X4">
        <f>D4*(1-E4*E4)/POWER(1-E4*E4*SIN(S4)*SIN(S4),1.5)</f>
        <v>6348411.949456967</v>
      </c>
      <c r="Y4">
        <f>M4/(W4*L4)</f>
        <v>0.0006700276781570842</v>
      </c>
      <c r="Z4">
        <f>S4-(W4*TAN(S4)/X4)*(Y4*Y4/2-(5+3*V4+10*U4-4*U4*U4-9*T4)*POWER(Y4,4)/24+(61+90*V4+298*U4+45*V4*V4-252*T4-3*U4*U4)*POWER(Y4,6)/720)</f>
        <v>0.47423797225494313</v>
      </c>
      <c r="AA4">
        <f>I4+(Y4-(1+2*V4+U4)*POWER(Y4,3)/6+(5-2*U4+28*V4-3*U4*U4+8*T4+24*V4*V4)*POWER(Y4,5)/120)/COS(S4)</f>
        <v>0.6153198860434383</v>
      </c>
      <c r="AB4" s="68">
        <f t="shared" si="1"/>
        <v>27.171834295050473</v>
      </c>
      <c r="AC4" s="68">
        <f t="shared" si="1"/>
        <v>35.25523252075978</v>
      </c>
    </row>
    <row r="7" ht="12.75">
      <c r="E7" s="105">
        <f>E2-E3</f>
        <v>4.291303423720194E-12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Timar</dc:creator>
  <cp:keywords/>
  <dc:description/>
  <cp:lastModifiedBy>user</cp:lastModifiedBy>
  <dcterms:created xsi:type="dcterms:W3CDTF">2002-11-25T20:55:07Z</dcterms:created>
  <dcterms:modified xsi:type="dcterms:W3CDTF">2019-08-23T14:51:24Z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